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hi/Desktop/Volleyball/Saison 21-22/VVS/WDM wU12/"/>
    </mc:Choice>
  </mc:AlternateContent>
  <xr:revisionPtr revIDLastSave="0" documentId="13_ncr:1_{A965A7C1-3587-964F-8DF9-05B81164A536}" xr6:coauthVersionLast="47" xr6:coauthVersionMax="47" xr10:uidLastSave="{00000000-0000-0000-0000-000000000000}"/>
  <bookViews>
    <workbookView xWindow="0" yWindow="460" windowWidth="17100" windowHeight="15480" xr2:uid="{00000000-000D-0000-FFFF-FFFF00000000}"/>
  </bookViews>
  <sheets>
    <sheet name="Spielplan" sheetId="1" r:id="rId1"/>
    <sheet name="Losen" sheetId="7" r:id="rId2"/>
    <sheet name="Gruppe A" sheetId="3" r:id="rId3"/>
    <sheet name="Gruppe B" sheetId="4" r:id="rId4"/>
    <sheet name="Gruppe C" sheetId="5" r:id="rId5"/>
    <sheet name="Gruppe D" sheetId="6" r:id="rId6"/>
    <sheet name="Plätze 9-12" sheetId="2" r:id="rId7"/>
  </sheets>
  <calcPr calcId="191029"/>
  <customWorkbookViews>
    <customWorkbookView name="Kathi - Persönliche Ansicht" guid="{E283EB08-68AF-4ED4-8677-B7D8E39E2424}" mergeInterval="0" personalView="1" maximized="1" xWindow="1" yWindow="1" windowWidth="1020" windowHeight="37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1" l="1"/>
  <c r="E44" i="1"/>
  <c r="E43" i="1"/>
  <c r="E42" i="1"/>
  <c r="E41" i="1"/>
  <c r="H4" i="7"/>
  <c r="F4" i="7"/>
  <c r="D4" i="7"/>
  <c r="B4" i="7"/>
  <c r="O35" i="1" l="1"/>
  <c r="B35" i="1"/>
  <c r="O30" i="1"/>
  <c r="B30" i="1"/>
  <c r="Q55" i="1" l="1"/>
  <c r="P27" i="1"/>
  <c r="P26" i="1"/>
  <c r="P25" i="1"/>
  <c r="P24" i="1"/>
  <c r="P23" i="1"/>
  <c r="P22" i="1"/>
  <c r="P21" i="1"/>
  <c r="P20" i="1"/>
  <c r="P19" i="1"/>
  <c r="P18" i="1"/>
  <c r="P17" i="1"/>
  <c r="P16" i="1"/>
  <c r="J4" i="6"/>
  <c r="H4" i="6"/>
  <c r="J3" i="6"/>
  <c r="H3" i="6"/>
  <c r="J2" i="6"/>
  <c r="H2" i="6"/>
  <c r="A4" i="6"/>
  <c r="A3" i="6"/>
  <c r="A2" i="6"/>
  <c r="M5" i="6"/>
  <c r="L5" i="6"/>
  <c r="K5" i="6"/>
  <c r="J4" i="5"/>
  <c r="H4" i="5"/>
  <c r="J3" i="5"/>
  <c r="H3" i="5"/>
  <c r="J2" i="5"/>
  <c r="H2" i="5"/>
  <c r="A4" i="5"/>
  <c r="A3" i="5"/>
  <c r="A2" i="5"/>
  <c r="M5" i="5"/>
  <c r="L5" i="5"/>
  <c r="K5" i="5"/>
  <c r="J4" i="4"/>
  <c r="H4" i="4"/>
  <c r="J3" i="4"/>
  <c r="H3" i="4"/>
  <c r="J2" i="4"/>
  <c r="H2" i="4"/>
  <c r="A4" i="4"/>
  <c r="A3" i="4"/>
  <c r="A2" i="4"/>
  <c r="M5" i="4"/>
  <c r="L5" i="4"/>
  <c r="K5" i="4"/>
  <c r="J4" i="3"/>
  <c r="J3" i="3"/>
  <c r="J2" i="3"/>
  <c r="H4" i="3"/>
  <c r="H3" i="3"/>
  <c r="H2" i="3"/>
  <c r="M2" i="5" l="1"/>
  <c r="M4" i="6"/>
  <c r="M2" i="4"/>
  <c r="M2" i="6"/>
  <c r="M3" i="6"/>
  <c r="M3" i="5"/>
  <c r="M3" i="4"/>
  <c r="M4" i="5"/>
  <c r="M4" i="4"/>
  <c r="A4" i="3" l="1"/>
  <c r="A3" i="3"/>
  <c r="A2" i="3"/>
  <c r="M5" i="3"/>
  <c r="L5" i="3"/>
  <c r="K5" i="3"/>
  <c r="M4" i="3" l="1"/>
  <c r="M2" i="3"/>
  <c r="M3" i="3"/>
  <c r="Q19" i="1"/>
  <c r="S19" i="1"/>
  <c r="Q27" i="1"/>
  <c r="S27" i="1"/>
  <c r="S16" i="1"/>
  <c r="B2" i="3" s="1"/>
  <c r="Q24" i="1"/>
  <c r="S24" i="1"/>
  <c r="Q47" i="1"/>
  <c r="S47" i="1"/>
  <c r="Q48" i="1"/>
  <c r="S48" i="1"/>
  <c r="H3" i="2"/>
  <c r="J3" i="2"/>
  <c r="J5" i="2"/>
  <c r="H5" i="2"/>
  <c r="J4" i="2"/>
  <c r="H4" i="2"/>
  <c r="Q39" i="1"/>
  <c r="S39" i="1"/>
  <c r="Q40" i="1"/>
  <c r="S40" i="1"/>
  <c r="J2" i="2"/>
  <c r="H2" i="2"/>
  <c r="S20" i="1"/>
  <c r="Q20" i="1"/>
  <c r="Q51" i="1"/>
  <c r="S51" i="1"/>
  <c r="Q52" i="1"/>
  <c r="S52" i="1"/>
  <c r="S54" i="1"/>
  <c r="Q54" i="1"/>
  <c r="S55" i="1"/>
  <c r="S56" i="1"/>
  <c r="Q56" i="1"/>
  <c r="S50" i="1"/>
  <c r="Q50" i="1"/>
  <c r="S53" i="1"/>
  <c r="Q53" i="1"/>
  <c r="S46" i="1"/>
  <c r="Q46" i="1"/>
  <c r="S49" i="1"/>
  <c r="Q49" i="1"/>
  <c r="Q18" i="1"/>
  <c r="S18" i="1"/>
  <c r="S22" i="1"/>
  <c r="Q22" i="1"/>
  <c r="Q26" i="1"/>
  <c r="S26" i="1"/>
  <c r="S57" i="1"/>
  <c r="Q57" i="1"/>
  <c r="S41" i="1"/>
  <c r="Q41" i="1"/>
  <c r="S44" i="1"/>
  <c r="Q44" i="1"/>
  <c r="S42" i="1"/>
  <c r="Q42" i="1"/>
  <c r="S43" i="1"/>
  <c r="Q43" i="1"/>
  <c r="S23" i="1"/>
  <c r="Q23" i="1"/>
  <c r="Q17" i="1"/>
  <c r="S17" i="1"/>
  <c r="S21" i="1"/>
  <c r="Q21" i="1"/>
  <c r="Q25" i="1"/>
  <c r="S25" i="1"/>
  <c r="C20" i="1"/>
  <c r="C27" i="1"/>
  <c r="E27" i="1"/>
  <c r="E23" i="1"/>
  <c r="C23" i="1"/>
  <c r="C19" i="1"/>
  <c r="E19" i="1"/>
  <c r="E22" i="1"/>
  <c r="E18" i="1"/>
  <c r="C22" i="1"/>
  <c r="E26" i="1"/>
  <c r="C26" i="1"/>
  <c r="C18" i="1"/>
  <c r="C21" i="1"/>
  <c r="E25" i="1"/>
  <c r="E21" i="1"/>
  <c r="E17" i="1"/>
  <c r="C25" i="1"/>
  <c r="C17" i="1"/>
  <c r="E24" i="1"/>
  <c r="E20" i="1"/>
  <c r="E16" i="1"/>
  <c r="C24" i="1"/>
  <c r="C16" i="1"/>
  <c r="C49" i="1" l="1"/>
  <c r="C53" i="1"/>
  <c r="P47" i="1"/>
  <c r="C46" i="1"/>
  <c r="P46" i="1"/>
  <c r="P50" i="1"/>
  <c r="C56" i="1"/>
  <c r="C55" i="1"/>
  <c r="P51" i="1"/>
  <c r="E53" i="1"/>
  <c r="P48" i="1"/>
  <c r="E49" i="1"/>
  <c r="P49" i="1"/>
  <c r="B4" i="2"/>
  <c r="K4" i="2" s="1"/>
  <c r="B2" i="2"/>
  <c r="K2" i="2" s="1"/>
  <c r="B5" i="2"/>
  <c r="K5" i="2" s="1"/>
  <c r="B3" i="2"/>
  <c r="B3" i="6"/>
  <c r="K3" i="6" s="1"/>
  <c r="B2" i="4"/>
  <c r="B3" i="5"/>
  <c r="K3" i="5" s="1"/>
  <c r="B4" i="5"/>
  <c r="K4" i="5" s="1"/>
  <c r="B3" i="4"/>
  <c r="K3" i="4" s="1"/>
  <c r="B4" i="4"/>
  <c r="K4" i="4" s="1"/>
  <c r="B2" i="6"/>
  <c r="B4" i="6"/>
  <c r="K4" i="6" s="1"/>
  <c r="B2" i="5"/>
  <c r="B3" i="3"/>
  <c r="K3" i="3" s="1"/>
  <c r="B4" i="3"/>
  <c r="K4" i="3" s="1"/>
  <c r="E56" i="1"/>
  <c r="P52" i="1"/>
  <c r="P53" i="1"/>
  <c r="E55" i="1"/>
  <c r="C54" i="1"/>
  <c r="C57" i="1"/>
  <c r="E54" i="1"/>
  <c r="E57" i="1"/>
  <c r="E50" i="1"/>
  <c r="E46" i="1"/>
  <c r="C50" i="1"/>
  <c r="P60" i="1"/>
  <c r="E63" i="1"/>
  <c r="E64" i="1"/>
  <c r="E62" i="1"/>
  <c r="E61" i="1"/>
  <c r="P61" i="1"/>
  <c r="M2" i="2"/>
  <c r="M5" i="2"/>
  <c r="M4" i="2"/>
  <c r="M3" i="2"/>
  <c r="E2" i="2"/>
  <c r="G3" i="2"/>
  <c r="G2" i="2"/>
  <c r="G3" i="4"/>
  <c r="G3" i="6"/>
  <c r="G3" i="5"/>
  <c r="E3" i="6"/>
  <c r="E3" i="5"/>
  <c r="E3" i="4"/>
  <c r="E2" i="6"/>
  <c r="G4" i="6"/>
  <c r="G2" i="6"/>
  <c r="L2" i="6" s="1"/>
  <c r="E4" i="6"/>
  <c r="E4" i="5"/>
  <c r="G2" i="5"/>
  <c r="G4" i="5"/>
  <c r="E2" i="5"/>
  <c r="E4" i="4"/>
  <c r="G2" i="4"/>
  <c r="G4" i="4"/>
  <c r="E2" i="4"/>
  <c r="G3" i="3"/>
  <c r="E4" i="3"/>
  <c r="G4" i="3"/>
  <c r="E3" i="3"/>
  <c r="G2" i="3"/>
  <c r="E2" i="3"/>
  <c r="E3" i="2"/>
  <c r="E65" i="1"/>
  <c r="E60" i="1"/>
  <c r="G4" i="2"/>
  <c r="G5" i="2"/>
  <c r="E4" i="2"/>
  <c r="E5" i="2"/>
  <c r="K3" i="2" l="1"/>
  <c r="B11" i="2"/>
  <c r="L2" i="4"/>
  <c r="L2" i="3"/>
  <c r="L3" i="4"/>
  <c r="L3" i="5"/>
  <c r="L4" i="2"/>
  <c r="L5" i="2"/>
  <c r="L2" i="2"/>
  <c r="L3" i="2"/>
  <c r="L3" i="6"/>
  <c r="L2" i="5"/>
  <c r="L4" i="6"/>
  <c r="K2" i="6"/>
  <c r="B8" i="6" s="1"/>
  <c r="K2" i="5"/>
  <c r="L4" i="5"/>
  <c r="L4" i="4"/>
  <c r="K2" i="4"/>
  <c r="L4" i="3"/>
  <c r="K2" i="3"/>
  <c r="L3" i="3"/>
  <c r="B8" i="2" l="1"/>
  <c r="B9" i="2" s="1"/>
  <c r="B8" i="5"/>
  <c r="S8" i="5" s="1"/>
  <c r="B10" i="6"/>
  <c r="B9" i="6" s="1"/>
  <c r="Q8" i="6"/>
  <c r="P8" i="6"/>
  <c r="K8" i="6"/>
  <c r="S8" i="6"/>
  <c r="N8" i="6"/>
  <c r="B10" i="5"/>
  <c r="B10" i="4"/>
  <c r="B8" i="4"/>
  <c r="P30" i="1" s="1"/>
  <c r="B10" i="3"/>
  <c r="N10" i="3" s="1"/>
  <c r="P65" i="1"/>
  <c r="P56" i="1" s="1"/>
  <c r="B8" i="3"/>
  <c r="P62" i="1" l="1"/>
  <c r="P57" i="1" s="1"/>
  <c r="B10" i="2"/>
  <c r="B9" i="5"/>
  <c r="N9" i="5" s="1"/>
  <c r="P8" i="5"/>
  <c r="J35" i="1" s="1"/>
  <c r="Q8" i="5"/>
  <c r="K35" i="1" s="1"/>
  <c r="N8" i="5"/>
  <c r="H35" i="1" s="1"/>
  <c r="K8" i="5"/>
  <c r="E35" i="1" s="1"/>
  <c r="N10" i="6"/>
  <c r="T37" i="1" s="1"/>
  <c r="S10" i="6"/>
  <c r="Y37" i="1" s="1"/>
  <c r="P10" i="6"/>
  <c r="Q10" i="6"/>
  <c r="W37" i="1" s="1"/>
  <c r="K10" i="6"/>
  <c r="Q37" i="1" s="1"/>
  <c r="P9" i="6"/>
  <c r="K9" i="6"/>
  <c r="S9" i="6"/>
  <c r="N9" i="6"/>
  <c r="T36" i="1" s="1"/>
  <c r="Q9" i="6"/>
  <c r="K10" i="5"/>
  <c r="E37" i="1" s="1"/>
  <c r="S10" i="5"/>
  <c r="N10" i="5"/>
  <c r="H37" i="1" s="1"/>
  <c r="P10" i="5"/>
  <c r="Q10" i="5"/>
  <c r="K37" i="1" s="1"/>
  <c r="Q8" i="4"/>
  <c r="W30" i="1" s="1"/>
  <c r="K8" i="4"/>
  <c r="Q30" i="1" s="1"/>
  <c r="N8" i="4"/>
  <c r="T30" i="1" s="1"/>
  <c r="P8" i="4"/>
  <c r="S8" i="4"/>
  <c r="U8" i="4" s="1"/>
  <c r="B9" i="4"/>
  <c r="S10" i="4"/>
  <c r="N10" i="4"/>
  <c r="T32" i="1" s="1"/>
  <c r="Q10" i="4"/>
  <c r="W32" i="1" s="1"/>
  <c r="P10" i="4"/>
  <c r="K10" i="4"/>
  <c r="Q32" i="1" s="1"/>
  <c r="P10" i="3"/>
  <c r="Q10" i="3"/>
  <c r="K10" i="3"/>
  <c r="S10" i="3"/>
  <c r="Q8" i="3"/>
  <c r="K30" i="1" s="1"/>
  <c r="S8" i="3"/>
  <c r="M30" i="1" s="1"/>
  <c r="K8" i="3"/>
  <c r="E30" i="1" s="1"/>
  <c r="P8" i="3"/>
  <c r="N8" i="3"/>
  <c r="H30" i="1" s="1"/>
  <c r="H1" i="7"/>
  <c r="D10" i="7"/>
  <c r="P63" i="1"/>
  <c r="P54" i="1" s="1"/>
  <c r="Q35" i="1"/>
  <c r="P35" i="1"/>
  <c r="Y35" i="1"/>
  <c r="W35" i="1"/>
  <c r="T35" i="1"/>
  <c r="M35" i="1"/>
  <c r="P32" i="1"/>
  <c r="A3" i="2" s="1"/>
  <c r="P37" i="1"/>
  <c r="A5" i="2" s="1"/>
  <c r="V35" i="1"/>
  <c r="C35" i="1"/>
  <c r="C37" i="1"/>
  <c r="A4" i="2" s="1"/>
  <c r="C30" i="1"/>
  <c r="T8" i="4" l="1"/>
  <c r="K9" i="5"/>
  <c r="E36" i="1" s="1"/>
  <c r="Y30" i="1"/>
  <c r="U10" i="4"/>
  <c r="Q9" i="5"/>
  <c r="P9" i="5"/>
  <c r="J36" i="1" s="1"/>
  <c r="S9" i="5"/>
  <c r="V30" i="1"/>
  <c r="Q9" i="4"/>
  <c r="W31" i="1" s="1"/>
  <c r="P9" i="4"/>
  <c r="V31" i="1" s="1"/>
  <c r="N9" i="4"/>
  <c r="T31" i="1" s="1"/>
  <c r="S9" i="4"/>
  <c r="K9" i="4"/>
  <c r="Q31" i="1" s="1"/>
  <c r="B10" i="7"/>
  <c r="F1" i="7"/>
  <c r="D1" i="7"/>
  <c r="H10" i="7"/>
  <c r="F10" i="7"/>
  <c r="B1" i="7"/>
  <c r="Q36" i="1"/>
  <c r="E40" i="1" s="1"/>
  <c r="V36" i="1"/>
  <c r="Y36" i="1"/>
  <c r="P36" i="1"/>
  <c r="W36" i="1"/>
  <c r="P64" i="1"/>
  <c r="P55" i="1" s="1"/>
  <c r="T8" i="6"/>
  <c r="U8" i="6"/>
  <c r="T8" i="5"/>
  <c r="T10" i="6"/>
  <c r="V37" i="1"/>
  <c r="U10" i="6"/>
  <c r="T10" i="4"/>
  <c r="P31" i="1"/>
  <c r="U8" i="5"/>
  <c r="C36" i="1"/>
  <c r="H36" i="1"/>
  <c r="K36" i="1"/>
  <c r="J37" i="1"/>
  <c r="T10" i="5"/>
  <c r="U10" i="5"/>
  <c r="M37" i="1"/>
  <c r="V32" i="1"/>
  <c r="Y32" i="1"/>
  <c r="T8" i="3"/>
  <c r="J30" i="1"/>
  <c r="U8" i="3"/>
  <c r="U9" i="4" l="1"/>
  <c r="E48" i="1"/>
  <c r="P44" i="1"/>
  <c r="D3" i="7"/>
  <c r="H12" i="7"/>
  <c r="E51" i="1"/>
  <c r="C42" i="1"/>
  <c r="F12" i="7"/>
  <c r="B3" i="7"/>
  <c r="E47" i="1"/>
  <c r="C40" i="1"/>
  <c r="P43" i="1"/>
  <c r="E52" i="1"/>
  <c r="C41" i="1"/>
  <c r="E39" i="1"/>
  <c r="C48" i="1"/>
  <c r="P42" i="1"/>
  <c r="C44" i="1"/>
  <c r="C52" i="1"/>
  <c r="D12" i="7"/>
  <c r="H3" i="7"/>
  <c r="U9" i="6"/>
  <c r="T9" i="6"/>
  <c r="T9" i="4"/>
  <c r="A9" i="4" s="1"/>
  <c r="O31" i="1" s="1"/>
  <c r="T9" i="5"/>
  <c r="U9" i="5"/>
  <c r="M36" i="1"/>
  <c r="Y31" i="1"/>
  <c r="A9" i="5" l="1"/>
  <c r="B36" i="1" s="1"/>
  <c r="A9" i="6"/>
  <c r="O36" i="1" s="1"/>
  <c r="A10" i="6"/>
  <c r="O37" i="1" s="1"/>
  <c r="A10" i="5"/>
  <c r="B37" i="1" s="1"/>
  <c r="A10" i="4"/>
  <c r="O32" i="1" s="1"/>
  <c r="H32" i="1" l="1"/>
  <c r="K32" i="1"/>
  <c r="C32" i="1"/>
  <c r="A2" i="2" s="1"/>
  <c r="U10" i="3"/>
  <c r="M32" i="1"/>
  <c r="E32" i="1"/>
  <c r="J32" i="1"/>
  <c r="T10" i="3"/>
  <c r="B9" i="3"/>
  <c r="P9" i="3" s="1"/>
  <c r="C31" i="1" l="1"/>
  <c r="B12" i="7" s="1"/>
  <c r="S9" i="3"/>
  <c r="M31" i="1" s="1"/>
  <c r="Q9" i="3"/>
  <c r="K31" i="1" s="1"/>
  <c r="K9" i="3"/>
  <c r="N9" i="3"/>
  <c r="H31" i="1" s="1"/>
  <c r="J31" i="1"/>
  <c r="F3" i="7" l="1"/>
  <c r="T9" i="3"/>
  <c r="E31" i="1"/>
  <c r="C43" i="1" s="1"/>
  <c r="U9" i="3"/>
  <c r="A9" i="3" l="1"/>
  <c r="B31" i="1" s="1"/>
  <c r="A10" i="3"/>
  <c r="B32" i="1" s="1"/>
  <c r="C51" i="1"/>
  <c r="C47" i="1"/>
  <c r="C39" i="1"/>
  <c r="P41" i="1"/>
</calcChain>
</file>

<file path=xl/sharedStrings.xml><?xml version="1.0" encoding="utf-8"?>
<sst xmlns="http://schemas.openxmlformats.org/spreadsheetml/2006/main" count="423" uniqueCount="113">
  <si>
    <t>Gruppe A</t>
  </si>
  <si>
    <t>Gruppe B</t>
  </si>
  <si>
    <t>Gruppe C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</si>
  <si>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</si>
  <si>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</si>
  <si>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</si>
  <si>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</si>
  <si>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</si>
  <si>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</si>
  <si>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</si>
  <si>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</si>
  <si>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</si>
  <si>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</si>
  <si>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</si>
  <si>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</si>
  <si>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Gruppe D</t>
  </si>
  <si>
    <t>ca.</t>
  </si>
  <si>
    <t>Spiel-Nr.</t>
  </si>
  <si>
    <t>Spielpaarung</t>
  </si>
  <si>
    <t>Ergebnis</t>
  </si>
  <si>
    <t>V01</t>
  </si>
  <si>
    <t>V05</t>
  </si>
  <si>
    <t>V09</t>
  </si>
  <si>
    <t>V02</t>
  </si>
  <si>
    <t>V03</t>
  </si>
  <si>
    <t>V04</t>
  </si>
  <si>
    <t>V06</t>
  </si>
  <si>
    <t>V07</t>
  </si>
  <si>
    <t>V08</t>
  </si>
  <si>
    <t>V10</t>
  </si>
  <si>
    <t>V11</t>
  </si>
  <si>
    <t>V12</t>
  </si>
  <si>
    <t>Z1</t>
  </si>
  <si>
    <t>Z2</t>
  </si>
  <si>
    <t>Z3</t>
  </si>
  <si>
    <t>Z4</t>
  </si>
  <si>
    <t>Z5</t>
  </si>
  <si>
    <t>Z6</t>
  </si>
  <si>
    <t>E10</t>
  </si>
  <si>
    <t>Feld</t>
  </si>
  <si>
    <t>Schiedsgericht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</si>
  <si>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</si>
  <si>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</si>
  <si>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</si>
  <si>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</si>
  <si>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</si>
  <si>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</si>
  <si>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</si>
  <si>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</si>
  <si>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</si>
  <si>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Vorrunde</t>
  </si>
  <si>
    <t>Zwischenrunde</t>
  </si>
  <si>
    <t>Platzierungsrunde</t>
  </si>
  <si>
    <t>Endstand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</si>
  <si>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</si>
  <si>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</si>
  <si>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</si>
  <si>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</si>
  <si>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</si>
  <si>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</si>
  <si>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</si>
  <si>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</si>
  <si>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</si>
  <si>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</si>
  <si>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</si>
  <si>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</si>
  <si>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Platzierungen nach der Vorrunde</t>
  </si>
  <si>
    <t>Spielplan</t>
  </si>
  <si>
    <t>Gruppeneinteilung für die Vorrunde</t>
  </si>
  <si>
    <t>:</t>
  </si>
  <si>
    <t>Punkte</t>
  </si>
  <si>
    <t>Sätze</t>
  </si>
  <si>
    <t>Bälle</t>
  </si>
  <si>
    <t>Mannschaft</t>
  </si>
  <si>
    <t>Satzdifferenz</t>
  </si>
  <si>
    <t>Balldifferenz</t>
  </si>
  <si>
    <t>Punktdifferenz</t>
  </si>
  <si>
    <t>Los</t>
  </si>
  <si>
    <t>CC</t>
  </si>
  <si>
    <t>E11</t>
  </si>
  <si>
    <t>E12</t>
  </si>
  <si>
    <t xml:space="preserve"> </t>
  </si>
  <si>
    <t>darf nicht</t>
  </si>
  <si>
    <t>-&gt;</t>
  </si>
  <si>
    <t>Spiel</t>
  </si>
  <si>
    <t>&lt;-</t>
  </si>
  <si>
    <t>Los A</t>
  </si>
  <si>
    <t>Los B</t>
  </si>
  <si>
    <t>Los C</t>
  </si>
  <si>
    <t>Los D</t>
  </si>
  <si>
    <t xml:space="preserve"> Samstag, 7. Mai 2022</t>
  </si>
  <si>
    <t>10:00</t>
  </si>
  <si>
    <t>10:45</t>
  </si>
  <si>
    <t>11:30</t>
  </si>
  <si>
    <t>12:15</t>
  </si>
  <si>
    <t>13:00</t>
  </si>
  <si>
    <t>13:45</t>
  </si>
  <si>
    <t>14:30</t>
  </si>
  <si>
    <t>15:15</t>
  </si>
  <si>
    <t>16:00</t>
  </si>
  <si>
    <t>Westdeutsche Meisterschaft 2022 weibliche U12</t>
  </si>
  <si>
    <t>SC Union Lüdinghausen</t>
  </si>
  <si>
    <t>TSV Bayer Dormagen</t>
  </si>
  <si>
    <t>TuS Velen</t>
  </si>
  <si>
    <t>VoR Paderborn</t>
  </si>
  <si>
    <t>RC Borken-Hoxfeld</t>
  </si>
  <si>
    <t>SC GW Paderborn</t>
  </si>
  <si>
    <t>DJK Sümmern</t>
  </si>
  <si>
    <t>SV Wachtberg</t>
  </si>
  <si>
    <t>Werdener TB</t>
  </si>
  <si>
    <t>VV Schwerte</t>
  </si>
  <si>
    <t>USC Münster</t>
  </si>
  <si>
    <t>Lüner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</si>
</sst>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4" fillId="0" borderId="0" xfId="0" applyFont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/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/>
    <xf numFmtId="0" fontId="0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0" fontId="4" fillId="0" borderId="8" xfId="0" applyFont="1" applyBorder="1" applyAlignment="1"/>
    <xf numFmtId="0" fontId="5" fillId="6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4" fillId="6" borderId="6" xfId="0" applyNumberFormat="1" applyFont="1" applyFill="1" applyBorder="1" applyAlignment="1">
      <alignment horizontal="center"/>
    </xf>
    <xf numFmtId="49" fontId="4" fillId="6" borderId="12" xfId="0" applyNumberFormat="1" applyFont="1" applyFill="1" applyBorder="1" applyAlignment="1">
      <alignment horizontal="center"/>
    </xf>
    <xf numFmtId="49" fontId="4" fillId="6" borderId="13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8" borderId="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 wrapText="1"/>
    </xf>
    <xf numFmtId="49" fontId="4" fillId="8" borderId="4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5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center"/>
    </xf>
    <xf numFmtId="0" fontId="0" fillId="7" borderId="1" xfId="0" applyFill="1" applyBorder="1"/>
    <xf numFmtId="0" fontId="0" fillId="7" borderId="2" xfId="0" applyFill="1" applyBorder="1"/>
    <xf numFmtId="49" fontId="4" fillId="6" borderId="2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4" fillId="6" borderId="2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49" fontId="4" fillId="6" borderId="19" xfId="0" applyNumberFormat="1" applyFont="1" applyFill="1" applyBorder="1" applyAlignment="1">
      <alignment horizontal="right"/>
    </xf>
    <xf numFmtId="0" fontId="0" fillId="7" borderId="21" xfId="0" applyFill="1" applyBorder="1"/>
    <xf numFmtId="0" fontId="5" fillId="7" borderId="15" xfId="0" applyFont="1" applyFill="1" applyBorder="1" applyAlignment="1">
      <alignment horizontal="center"/>
    </xf>
    <xf numFmtId="0" fontId="0" fillId="7" borderId="32" xfId="0" applyFill="1" applyBorder="1"/>
    <xf numFmtId="0" fontId="0" fillId="7" borderId="33" xfId="0" applyFill="1" applyBorder="1"/>
    <xf numFmtId="0" fontId="0" fillId="7" borderId="32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0" fillId="7" borderId="3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0" fillId="7" borderId="32" xfId="0" applyFill="1" applyBorder="1" applyAlignment="1">
      <alignment horizontal="center"/>
    </xf>
    <xf numFmtId="0" fontId="0" fillId="7" borderId="32" xfId="0" applyFill="1" applyBorder="1" applyAlignment="1">
      <alignment horizontal="right"/>
    </xf>
    <xf numFmtId="0" fontId="0" fillId="7" borderId="33" xfId="0" applyFont="1" applyFill="1" applyBorder="1" applyAlignment="1">
      <alignment horizontal="right"/>
    </xf>
    <xf numFmtId="0" fontId="0" fillId="7" borderId="32" xfId="0" applyFont="1" applyFill="1" applyBorder="1" applyAlignment="1">
      <alignment horizontal="right"/>
    </xf>
    <xf numFmtId="0" fontId="0" fillId="7" borderId="34" xfId="0" applyFont="1" applyFill="1" applyBorder="1" applyAlignment="1">
      <alignment horizontal="right"/>
    </xf>
    <xf numFmtId="0" fontId="0" fillId="7" borderId="33" xfId="0" applyFont="1" applyFill="1" applyBorder="1" applyAlignment="1">
      <alignment horizontal="left"/>
    </xf>
    <xf numFmtId="0" fontId="0" fillId="7" borderId="34" xfId="0" applyFont="1" applyFill="1" applyBorder="1" applyAlignment="1">
      <alignment horizontal="left"/>
    </xf>
    <xf numFmtId="0" fontId="0" fillId="7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26" xfId="0" applyFont="1" applyFill="1" applyBorder="1" applyAlignment="1">
      <alignment horizontal="right"/>
    </xf>
    <xf numFmtId="0" fontId="0" fillId="7" borderId="28" xfId="0" applyFont="1" applyFill="1" applyBorder="1" applyAlignment="1">
      <alignment horizontal="right"/>
    </xf>
    <xf numFmtId="49" fontId="4" fillId="6" borderId="43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0" fillId="7" borderId="39" xfId="0" applyFont="1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7" borderId="17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left"/>
    </xf>
    <xf numFmtId="0" fontId="0" fillId="7" borderId="17" xfId="0" applyFont="1" applyFill="1" applyBorder="1" applyAlignment="1">
      <alignment horizontal="left"/>
    </xf>
    <xf numFmtId="0" fontId="5" fillId="4" borderId="11" xfId="0" applyFont="1" applyFill="1" applyBorder="1" applyAlignment="1"/>
    <xf numFmtId="0" fontId="4" fillId="4" borderId="38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 wrapText="1"/>
    </xf>
    <xf numFmtId="0" fontId="4" fillId="8" borderId="38" xfId="0" applyFont="1" applyFill="1" applyBorder="1" applyAlignment="1">
      <alignment horizontal="left"/>
    </xf>
    <xf numFmtId="0" fontId="4" fillId="8" borderId="42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right" wrapText="1"/>
    </xf>
    <xf numFmtId="0" fontId="4" fillId="8" borderId="0" xfId="0" applyFont="1" applyFill="1" applyBorder="1" applyAlignment="1">
      <alignment horizontal="right"/>
    </xf>
    <xf numFmtId="0" fontId="4" fillId="8" borderId="24" xfId="0" applyFont="1" applyFill="1" applyBorder="1" applyAlignment="1">
      <alignment horizontal="right"/>
    </xf>
    <xf numFmtId="0" fontId="4" fillId="8" borderId="30" xfId="0" applyFont="1" applyFill="1" applyBorder="1" applyAlignment="1">
      <alignment horizontal="right" wrapText="1"/>
    </xf>
    <xf numFmtId="0" fontId="4" fillId="8" borderId="30" xfId="0" applyFont="1" applyFill="1" applyBorder="1" applyAlignment="1">
      <alignment horizontal="right"/>
    </xf>
    <xf numFmtId="0" fontId="4" fillId="8" borderId="37" xfId="0" applyFont="1" applyFill="1" applyBorder="1" applyAlignment="1">
      <alignment horizontal="right"/>
    </xf>
    <xf numFmtId="0" fontId="4" fillId="8" borderId="4" xfId="0" applyNumberFormat="1" applyFont="1" applyFill="1" applyBorder="1" applyAlignment="1">
      <alignment horizontal="center"/>
    </xf>
    <xf numFmtId="0" fontId="4" fillId="8" borderId="5" xfId="0" applyNumberFormat="1" applyFont="1" applyFill="1" applyBorder="1" applyAlignment="1">
      <alignment horizontal="center"/>
    </xf>
    <xf numFmtId="0" fontId="5" fillId="9" borderId="52" xfId="0" applyFont="1" applyFill="1" applyBorder="1" applyAlignment="1">
      <alignment horizontal="left"/>
    </xf>
    <xf numFmtId="0" fontId="0" fillId="0" borderId="53" xfId="0" applyBorder="1"/>
    <xf numFmtId="0" fontId="0" fillId="0" borderId="33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0" fillId="0" borderId="57" xfId="0" applyBorder="1"/>
    <xf numFmtId="0" fontId="0" fillId="0" borderId="36" xfId="0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33" xfId="0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0" fillId="0" borderId="56" xfId="0" applyBorder="1" applyAlignment="1">
      <alignment horizontal="left"/>
    </xf>
    <xf numFmtId="0" fontId="0" fillId="0" borderId="58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7" borderId="47" xfId="0" applyFont="1" applyFill="1" applyBorder="1" applyAlignment="1">
      <alignment horizontal="left"/>
    </xf>
    <xf numFmtId="0" fontId="12" fillId="0" borderId="0" xfId="0" applyFont="1"/>
    <xf numFmtId="0" fontId="0" fillId="7" borderId="1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5" fillId="8" borderId="52" xfId="0" applyFont="1" applyFill="1" applyBorder="1" applyAlignment="1">
      <alignment horizontal="left"/>
    </xf>
    <xf numFmtId="0" fontId="0" fillId="8" borderId="53" xfId="0" applyFill="1" applyBorder="1"/>
    <xf numFmtId="0" fontId="0" fillId="8" borderId="33" xfId="0" applyFill="1" applyBorder="1" applyAlignment="1">
      <alignment horizontal="right"/>
    </xf>
    <xf numFmtId="0" fontId="0" fillId="8" borderId="33" xfId="0" applyFill="1" applyBorder="1" applyAlignment="1">
      <alignment horizontal="center"/>
    </xf>
    <xf numFmtId="0" fontId="0" fillId="8" borderId="36" xfId="0" applyFill="1" applyBorder="1" applyAlignment="1">
      <alignment horizontal="left"/>
    </xf>
    <xf numFmtId="0" fontId="0" fillId="8" borderId="54" xfId="0" applyFill="1" applyBorder="1" applyAlignment="1">
      <alignment horizontal="right"/>
    </xf>
    <xf numFmtId="0" fontId="10" fillId="8" borderId="33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left"/>
    </xf>
    <xf numFmtId="0" fontId="10" fillId="8" borderId="33" xfId="0" applyFont="1" applyFill="1" applyBorder="1" applyAlignment="1">
      <alignment horizontal="right"/>
    </xf>
    <xf numFmtId="0" fontId="0" fillId="8" borderId="57" xfId="0" applyFill="1" applyBorder="1"/>
    <xf numFmtId="0" fontId="0" fillId="8" borderId="55" xfId="0" applyFill="1" applyBorder="1" applyAlignment="1">
      <alignment horizontal="right"/>
    </xf>
    <xf numFmtId="0" fontId="10" fillId="8" borderId="48" xfId="0" applyFont="1" applyFill="1" applyBorder="1" applyAlignment="1">
      <alignment horizontal="center"/>
    </xf>
    <xf numFmtId="0" fontId="10" fillId="8" borderId="56" xfId="0" applyFont="1" applyFill="1" applyBorder="1" applyAlignment="1">
      <alignment horizontal="left"/>
    </xf>
    <xf numFmtId="0" fontId="10" fillId="8" borderId="48" xfId="0" applyFont="1" applyFill="1" applyBorder="1" applyAlignment="1">
      <alignment horizontal="right"/>
    </xf>
    <xf numFmtId="0" fontId="0" fillId="8" borderId="56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8" borderId="67" xfId="0" applyFill="1" applyBorder="1" applyAlignment="1">
      <alignment horizontal="right"/>
    </xf>
    <xf numFmtId="0" fontId="0" fillId="8" borderId="34" xfId="0" applyFill="1" applyBorder="1" applyAlignment="1">
      <alignment horizontal="right"/>
    </xf>
    <xf numFmtId="0" fontId="0" fillId="8" borderId="34" xfId="0" applyFill="1" applyBorder="1" applyAlignment="1">
      <alignment horizontal="center"/>
    </xf>
    <xf numFmtId="0" fontId="0" fillId="8" borderId="31" xfId="0" applyFill="1" applyBorder="1" applyAlignment="1">
      <alignment horizontal="left"/>
    </xf>
    <xf numFmtId="0" fontId="0" fillId="8" borderId="16" xfId="0" applyFill="1" applyBorder="1"/>
    <xf numFmtId="0" fontId="5" fillId="2" borderId="52" xfId="0" applyFont="1" applyFill="1" applyBorder="1" applyAlignment="1">
      <alignment horizontal="left"/>
    </xf>
    <xf numFmtId="0" fontId="0" fillId="2" borderId="53" xfId="0" applyFill="1" applyBorder="1"/>
    <xf numFmtId="0" fontId="0" fillId="2" borderId="33" xfId="0" applyFill="1" applyBorder="1" applyAlignment="1">
      <alignment horizontal="right"/>
    </xf>
    <xf numFmtId="0" fontId="0" fillId="2" borderId="36" xfId="0" applyFill="1" applyBorder="1" applyAlignment="1">
      <alignment horizontal="left"/>
    </xf>
    <xf numFmtId="0" fontId="0" fillId="2" borderId="54" xfId="0" applyFill="1" applyBorder="1" applyAlignment="1">
      <alignment horizontal="right"/>
    </xf>
    <xf numFmtId="0" fontId="10" fillId="2" borderId="3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right"/>
    </xf>
    <xf numFmtId="0" fontId="0" fillId="2" borderId="57" xfId="0" applyFill="1" applyBorder="1"/>
    <xf numFmtId="0" fontId="0" fillId="2" borderId="55" xfId="0" applyFill="1" applyBorder="1" applyAlignment="1">
      <alignment horizontal="right"/>
    </xf>
    <xf numFmtId="0" fontId="10" fillId="2" borderId="48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right"/>
    </xf>
    <xf numFmtId="0" fontId="0" fillId="2" borderId="56" xfId="0" applyFill="1" applyBorder="1" applyAlignment="1">
      <alignment horizontal="left"/>
    </xf>
    <xf numFmtId="0" fontId="0" fillId="2" borderId="16" xfId="0" applyFill="1" applyBorder="1"/>
    <xf numFmtId="0" fontId="0" fillId="2" borderId="67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0" fillId="2" borderId="31" xfId="0" applyFill="1" applyBorder="1" applyAlignment="1">
      <alignment horizontal="left"/>
    </xf>
    <xf numFmtId="0" fontId="5" fillId="4" borderId="52" xfId="0" applyFont="1" applyFill="1" applyBorder="1" applyAlignment="1">
      <alignment horizontal="left"/>
    </xf>
    <xf numFmtId="0" fontId="0" fillId="4" borderId="53" xfId="0" applyFill="1" applyBorder="1"/>
    <xf numFmtId="0" fontId="0" fillId="4" borderId="33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0" fillId="4" borderId="36" xfId="0" applyFill="1" applyBorder="1" applyAlignment="1">
      <alignment horizontal="left"/>
    </xf>
    <xf numFmtId="0" fontId="0" fillId="4" borderId="54" xfId="0" applyFill="1" applyBorder="1" applyAlignment="1">
      <alignment horizontal="right"/>
    </xf>
    <xf numFmtId="0" fontId="10" fillId="4" borderId="33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right"/>
    </xf>
    <xf numFmtId="0" fontId="0" fillId="4" borderId="57" xfId="0" applyFill="1" applyBorder="1"/>
    <xf numFmtId="0" fontId="0" fillId="4" borderId="55" xfId="0" applyFill="1" applyBorder="1" applyAlignment="1">
      <alignment horizontal="right"/>
    </xf>
    <xf numFmtId="0" fontId="10" fillId="4" borderId="48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right"/>
    </xf>
    <xf numFmtId="0" fontId="0" fillId="4" borderId="56" xfId="0" applyFill="1" applyBorder="1" applyAlignment="1">
      <alignment horizontal="left"/>
    </xf>
    <xf numFmtId="0" fontId="0" fillId="4" borderId="16" xfId="0" applyFill="1" applyBorder="1"/>
    <xf numFmtId="0" fontId="0" fillId="4" borderId="67" xfId="0" applyFill="1" applyBorder="1" applyAlignment="1">
      <alignment horizontal="right"/>
    </xf>
    <xf numFmtId="0" fontId="0" fillId="4" borderId="34" xfId="0" applyFill="1" applyBorder="1" applyAlignment="1">
      <alignment horizontal="right"/>
    </xf>
    <xf numFmtId="0" fontId="0" fillId="4" borderId="34" xfId="0" applyFill="1" applyBorder="1" applyAlignment="1">
      <alignment horizontal="center"/>
    </xf>
    <xf numFmtId="0" fontId="0" fillId="4" borderId="31" xfId="0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right"/>
    </xf>
    <xf numFmtId="0" fontId="0" fillId="7" borderId="48" xfId="0" applyFill="1" applyBorder="1"/>
    <xf numFmtId="0" fontId="0" fillId="7" borderId="48" xfId="0" applyFont="1" applyFill="1" applyBorder="1" applyAlignment="1">
      <alignment horizontal="left"/>
    </xf>
    <xf numFmtId="0" fontId="0" fillId="7" borderId="48" xfId="0" applyFill="1" applyBorder="1" applyAlignment="1">
      <alignment horizontal="center"/>
    </xf>
    <xf numFmtId="0" fontId="0" fillId="7" borderId="48" xfId="0" applyFont="1" applyFill="1" applyBorder="1" applyAlignment="1">
      <alignment horizontal="right"/>
    </xf>
    <xf numFmtId="0" fontId="0" fillId="7" borderId="56" xfId="0" applyFill="1" applyBorder="1" applyAlignment="1">
      <alignment horizontal="left"/>
    </xf>
    <xf numFmtId="0" fontId="0" fillId="7" borderId="29" xfId="0" applyFont="1" applyFill="1" applyBorder="1" applyAlignment="1">
      <alignment horizontal="right"/>
    </xf>
    <xf numFmtId="0" fontId="0" fillId="7" borderId="70" xfId="0" applyFill="1" applyBorder="1"/>
    <xf numFmtId="0" fontId="0" fillId="7" borderId="71" xfId="0" applyFont="1" applyFill="1" applyBorder="1" applyAlignment="1">
      <alignment horizontal="left"/>
    </xf>
    <xf numFmtId="0" fontId="0" fillId="7" borderId="49" xfId="0" applyFont="1" applyFill="1" applyBorder="1" applyAlignment="1">
      <alignment horizontal="left"/>
    </xf>
    <xf numFmtId="0" fontId="0" fillId="7" borderId="70" xfId="0" applyFont="1" applyFill="1" applyBorder="1" applyAlignment="1">
      <alignment horizontal="right"/>
    </xf>
    <xf numFmtId="0" fontId="0" fillId="7" borderId="70" xfId="0" applyFill="1" applyBorder="1" applyAlignment="1">
      <alignment horizontal="center"/>
    </xf>
    <xf numFmtId="0" fontId="0" fillId="7" borderId="70" xfId="0" applyFont="1" applyFill="1" applyBorder="1" applyAlignment="1">
      <alignment horizontal="left"/>
    </xf>
    <xf numFmtId="0" fontId="0" fillId="7" borderId="51" xfId="0" applyFill="1" applyBorder="1" applyAlignment="1">
      <alignment horizontal="left"/>
    </xf>
    <xf numFmtId="0" fontId="0" fillId="7" borderId="25" xfId="0" applyFont="1" applyFill="1" applyBorder="1" applyAlignment="1">
      <alignment horizontal="right"/>
    </xf>
    <xf numFmtId="0" fontId="0" fillId="7" borderId="17" xfId="0" applyFill="1" applyBorder="1"/>
    <xf numFmtId="0" fontId="0" fillId="7" borderId="44" xfId="0" applyFont="1" applyFill="1" applyBorder="1" applyAlignment="1">
      <alignment horizontal="left"/>
    </xf>
    <xf numFmtId="0" fontId="13" fillId="0" borderId="0" xfId="0" applyFont="1"/>
    <xf numFmtId="0" fontId="13" fillId="0" borderId="9" xfId="0" applyFont="1" applyBorder="1"/>
    <xf numFmtId="0" fontId="13" fillId="0" borderId="72" xfId="0" applyFont="1" applyBorder="1"/>
    <xf numFmtId="0" fontId="13" fillId="0" borderId="0" xfId="0" quotePrefix="1" applyFont="1"/>
    <xf numFmtId="0" fontId="14" fillId="0" borderId="72" xfId="0" applyFont="1" applyBorder="1"/>
    <xf numFmtId="0" fontId="14" fillId="0" borderId="9" xfId="0" applyFont="1" applyBorder="1"/>
    <xf numFmtId="0" fontId="15" fillId="0" borderId="72" xfId="0" applyFont="1" applyBorder="1"/>
    <xf numFmtId="0" fontId="6" fillId="0" borderId="0" xfId="0" quotePrefix="1" applyFont="1"/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5" fillId="10" borderId="52" xfId="0" applyFont="1" applyFill="1" applyBorder="1" applyAlignment="1">
      <alignment horizontal="left"/>
    </xf>
    <xf numFmtId="0" fontId="0" fillId="10" borderId="53" xfId="0" applyFill="1" applyBorder="1"/>
    <xf numFmtId="0" fontId="0" fillId="10" borderId="33" xfId="0" applyFill="1" applyBorder="1" applyAlignment="1">
      <alignment horizontal="right"/>
    </xf>
    <xf numFmtId="0" fontId="0" fillId="10" borderId="33" xfId="0" applyFill="1" applyBorder="1" applyAlignment="1">
      <alignment horizontal="center"/>
    </xf>
    <xf numFmtId="0" fontId="0" fillId="10" borderId="36" xfId="0" applyFill="1" applyBorder="1" applyAlignment="1">
      <alignment horizontal="left"/>
    </xf>
    <xf numFmtId="0" fontId="0" fillId="10" borderId="54" xfId="0" applyFill="1" applyBorder="1" applyAlignment="1">
      <alignment horizontal="right"/>
    </xf>
    <xf numFmtId="0" fontId="10" fillId="10" borderId="33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left"/>
    </xf>
    <xf numFmtId="0" fontId="10" fillId="10" borderId="33" xfId="0" applyFont="1" applyFill="1" applyBorder="1" applyAlignment="1">
      <alignment horizontal="right"/>
    </xf>
    <xf numFmtId="0" fontId="0" fillId="10" borderId="57" xfId="0" applyFill="1" applyBorder="1"/>
    <xf numFmtId="0" fontId="0" fillId="10" borderId="55" xfId="0" applyFill="1" applyBorder="1" applyAlignment="1">
      <alignment horizontal="right"/>
    </xf>
    <xf numFmtId="0" fontId="10" fillId="10" borderId="48" xfId="0" applyFont="1" applyFill="1" applyBorder="1" applyAlignment="1">
      <alignment horizontal="center"/>
    </xf>
    <xf numFmtId="0" fontId="10" fillId="10" borderId="56" xfId="0" applyFont="1" applyFill="1" applyBorder="1" applyAlignment="1">
      <alignment horizontal="left"/>
    </xf>
    <xf numFmtId="0" fontId="10" fillId="10" borderId="48" xfId="0" applyFont="1" applyFill="1" applyBorder="1" applyAlignment="1">
      <alignment horizontal="right"/>
    </xf>
    <xf numFmtId="0" fontId="0" fillId="10" borderId="56" xfId="0" applyFill="1" applyBorder="1" applyAlignment="1">
      <alignment horizontal="left"/>
    </xf>
    <xf numFmtId="0" fontId="0" fillId="10" borderId="16" xfId="0" applyFill="1" applyBorder="1"/>
    <xf numFmtId="0" fontId="0" fillId="10" borderId="67" xfId="0" applyFill="1" applyBorder="1" applyAlignment="1">
      <alignment horizontal="right"/>
    </xf>
    <xf numFmtId="0" fontId="0" fillId="10" borderId="34" xfId="0" applyFill="1" applyBorder="1" applyAlignment="1">
      <alignment horizontal="right"/>
    </xf>
    <xf numFmtId="0" fontId="0" fillId="10" borderId="34" xfId="0" applyFill="1" applyBorder="1" applyAlignment="1">
      <alignment horizontal="center"/>
    </xf>
    <xf numFmtId="0" fontId="0" fillId="10" borderId="31" xfId="0" applyFill="1" applyBorder="1" applyAlignment="1">
      <alignment horizontal="left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4" borderId="7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4" fillId="8" borderId="37" xfId="0" applyNumberFormat="1" applyFont="1" applyFill="1" applyBorder="1" applyAlignment="1">
      <alignment horizontal="left"/>
    </xf>
    <xf numFmtId="0" fontId="4" fillId="8" borderId="2" xfId="0" applyNumberFormat="1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8" borderId="29" xfId="11" applyNumberFormat="1" applyFont="1" applyFill="1" applyBorder="1" applyAlignment="1">
      <alignment horizontal="left" wrapText="1"/>
    </xf>
    <xf numFmtId="0" fontId="4" fillId="8" borderId="51" xfId="11" applyNumberFormat="1" applyFont="1" applyFill="1" applyBorder="1" applyAlignment="1">
      <alignment horizontal="left" wrapText="1"/>
    </xf>
    <xf numFmtId="49" fontId="5" fillId="5" borderId="16" xfId="0" applyNumberFormat="1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10" borderId="28" xfId="0" applyFont="1" applyFill="1" applyBorder="1" applyAlignment="1">
      <alignment horizontal="left"/>
    </xf>
    <xf numFmtId="0" fontId="4" fillId="10" borderId="47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left"/>
    </xf>
    <xf numFmtId="0" fontId="4" fillId="8" borderId="3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24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5" fillId="8" borderId="35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10" borderId="35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5" fillId="8" borderId="26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0" fontId="0" fillId="7" borderId="45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5" fillId="7" borderId="50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8" borderId="30" xfId="0" applyNumberFormat="1" applyFont="1" applyFill="1" applyBorder="1" applyAlignment="1">
      <alignment horizontal="left"/>
    </xf>
    <xf numFmtId="0" fontId="4" fillId="8" borderId="1" xfId="0" applyNumberFormat="1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0" fontId="0" fillId="5" borderId="17" xfId="0" applyFill="1" applyBorder="1" applyAlignment="1"/>
    <xf numFmtId="0" fontId="0" fillId="5" borderId="18" xfId="0" applyFill="1" applyBorder="1" applyAlignment="1"/>
    <xf numFmtId="0" fontId="18" fillId="11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49" fontId="17" fillId="3" borderId="16" xfId="0" applyNumberFormat="1" applyFont="1" applyFill="1" applyBorder="1" applyAlignment="1">
      <alignment horizontal="center"/>
    </xf>
    <xf numFmtId="49" fontId="17" fillId="3" borderId="17" xfId="0" applyNumberFormat="1" applyFont="1" applyFill="1" applyBorder="1" applyAlignment="1">
      <alignment horizontal="center"/>
    </xf>
    <xf numFmtId="49" fontId="17" fillId="3" borderId="18" xfId="0" applyNumberFormat="1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10" borderId="33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left"/>
    </xf>
    <xf numFmtId="49" fontId="16" fillId="11" borderId="16" xfId="0" applyNumberFormat="1" applyFont="1" applyFill="1" applyBorder="1" applyAlignment="1">
      <alignment horizontal="center"/>
    </xf>
    <xf numFmtId="49" fontId="16" fillId="11" borderId="17" xfId="0" applyNumberFormat="1" applyFont="1" applyFill="1" applyBorder="1" applyAlignment="1">
      <alignment horizontal="center"/>
    </xf>
    <xf numFmtId="49" fontId="16" fillId="11" borderId="18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49" fontId="4" fillId="7" borderId="17" xfId="0" applyNumberFormat="1" applyFont="1" applyFill="1" applyBorder="1" applyAlignment="1">
      <alignment horizontal="center"/>
    </xf>
    <xf numFmtId="0" fontId="4" fillId="8" borderId="29" xfId="0" applyFont="1" applyFill="1" applyBorder="1" applyAlignment="1">
      <alignment horizontal="left" wrapText="1"/>
    </xf>
    <xf numFmtId="0" fontId="4" fillId="8" borderId="51" xfId="0" applyFont="1" applyFill="1" applyBorder="1" applyAlignment="1">
      <alignment horizontal="left" wrapText="1"/>
    </xf>
    <xf numFmtId="0" fontId="4" fillId="8" borderId="30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37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69" xfId="0" applyFont="1" applyFill="1" applyBorder="1" applyAlignment="1">
      <alignment horizontal="center" wrapText="1"/>
    </xf>
    <xf numFmtId="0" fontId="4" fillId="8" borderId="70" xfId="0" applyFont="1" applyFill="1" applyBorder="1" applyAlignment="1">
      <alignment horizontal="center" wrapText="1"/>
    </xf>
    <xf numFmtId="0" fontId="4" fillId="8" borderId="71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8" borderId="34" xfId="0" applyFill="1" applyBorder="1"/>
    <xf numFmtId="0" fontId="0" fillId="8" borderId="68" xfId="0" applyFill="1" applyBorder="1"/>
    <xf numFmtId="0" fontId="5" fillId="8" borderId="16" xfId="0" applyFont="1" applyFill="1" applyBorder="1" applyAlignment="1">
      <alignment horizontal="center"/>
    </xf>
    <xf numFmtId="0" fontId="0" fillId="8" borderId="33" xfId="0" applyFill="1" applyBorder="1"/>
    <xf numFmtId="0" fontId="0" fillId="8" borderId="62" xfId="0" applyFill="1" applyBorder="1"/>
    <xf numFmtId="0" fontId="0" fillId="8" borderId="48" xfId="0" applyFill="1" applyBorder="1"/>
    <xf numFmtId="0" fontId="0" fillId="8" borderId="66" xfId="0" applyFill="1" applyBorder="1"/>
    <xf numFmtId="0" fontId="0" fillId="8" borderId="67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2" borderId="33" xfId="0" applyFill="1" applyBorder="1"/>
    <xf numFmtId="0" fontId="0" fillId="2" borderId="62" xfId="0" applyFill="1" applyBorder="1"/>
    <xf numFmtId="0" fontId="0" fillId="2" borderId="5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8" xfId="0" applyFill="1" applyBorder="1"/>
    <xf numFmtId="0" fontId="0" fillId="2" borderId="66" xfId="0" applyFill="1" applyBorder="1"/>
    <xf numFmtId="0" fontId="0" fillId="2" borderId="5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34" xfId="0" applyFill="1" applyBorder="1"/>
    <xf numFmtId="0" fontId="0" fillId="2" borderId="68" xfId="0" applyFill="1" applyBorder="1"/>
    <xf numFmtId="0" fontId="0" fillId="2" borderId="6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10" borderId="33" xfId="0" applyFill="1" applyBorder="1"/>
    <xf numFmtId="0" fontId="0" fillId="10" borderId="62" xfId="0" applyFill="1" applyBorder="1"/>
    <xf numFmtId="0" fontId="0" fillId="10" borderId="54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48" xfId="0" applyFill="1" applyBorder="1"/>
    <xf numFmtId="0" fontId="0" fillId="10" borderId="66" xfId="0" applyFill="1" applyBorder="1"/>
    <xf numFmtId="0" fontId="0" fillId="10" borderId="55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0" fillId="10" borderId="34" xfId="0" applyFill="1" applyBorder="1"/>
    <xf numFmtId="0" fontId="0" fillId="10" borderId="68" xfId="0" applyFill="1" applyBorder="1"/>
    <xf numFmtId="0" fontId="0" fillId="10" borderId="67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4" borderId="33" xfId="0" applyFill="1" applyBorder="1"/>
    <xf numFmtId="0" fontId="0" fillId="4" borderId="62" xfId="0" applyFill="1" applyBorder="1"/>
    <xf numFmtId="0" fontId="0" fillId="4" borderId="54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48" xfId="0" applyFill="1" applyBorder="1"/>
    <xf numFmtId="0" fontId="0" fillId="4" borderId="66" xfId="0" applyFill="1" applyBorder="1"/>
    <xf numFmtId="0" fontId="0" fillId="4" borderId="55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4" borderId="34" xfId="0" applyFill="1" applyBorder="1"/>
    <xf numFmtId="0" fontId="0" fillId="4" borderId="68" xfId="0" applyFill="1" applyBorder="1"/>
    <xf numFmtId="0" fontId="0" fillId="4" borderId="6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64" xfId="0" applyBorder="1"/>
    <xf numFmtId="0" fontId="0" fillId="0" borderId="65" xfId="0" applyBorder="1"/>
    <xf numFmtId="0" fontId="5" fillId="9" borderId="35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0" fillId="0" borderId="33" xfId="0" applyBorder="1"/>
    <xf numFmtId="0" fontId="0" fillId="0" borderId="62" xfId="0" applyBorder="1"/>
    <xf numFmtId="0" fontId="0" fillId="0" borderId="5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10" borderId="6" xfId="0" applyFont="1" applyFill="1" applyBorder="1" applyAlignment="1"/>
    <xf numFmtId="0" fontId="5" fillId="10" borderId="7" xfId="0" applyFont="1" applyFill="1" applyBorder="1" applyAlignment="1"/>
    <xf numFmtId="0" fontId="4" fillId="1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left"/>
    </xf>
    <xf numFmtId="0" fontId="0" fillId="2" borderId="51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10" borderId="14" xfId="0" applyFont="1" applyFill="1" applyBorder="1" applyAlignment="1">
      <alignment horizontal="center"/>
    </xf>
    <xf numFmtId="0" fontId="5" fillId="10" borderId="35" xfId="0" applyFont="1" applyFill="1" applyBorder="1" applyAlignment="1"/>
    <xf numFmtId="0" fontId="5" fillId="10" borderId="11" xfId="0" applyFont="1" applyFill="1" applyBorder="1" applyAlignment="1"/>
    <xf numFmtId="0" fontId="4" fillId="10" borderId="22" xfId="0" applyFont="1" applyFill="1" applyBorder="1" applyAlignment="1">
      <alignment horizontal="center"/>
    </xf>
    <xf numFmtId="0" fontId="4" fillId="10" borderId="41" xfId="0" applyFont="1" applyFill="1" applyBorder="1" applyAlignment="1">
      <alignment horizontal="left" wrapText="1"/>
    </xf>
    <xf numFmtId="0" fontId="4" fillId="10" borderId="69" xfId="0" applyFont="1" applyFill="1" applyBorder="1" applyAlignment="1">
      <alignment horizontal="center"/>
    </xf>
    <xf numFmtId="0" fontId="4" fillId="10" borderId="70" xfId="0" applyFont="1" applyFill="1" applyBorder="1" applyAlignment="1">
      <alignment horizontal="center"/>
    </xf>
    <xf numFmtId="0" fontId="4" fillId="10" borderId="71" xfId="0" applyFont="1" applyFill="1" applyBorder="1" applyAlignment="1">
      <alignment horizontal="center"/>
    </xf>
    <xf numFmtId="0" fontId="4" fillId="10" borderId="0" xfId="0" applyFont="1" applyFill="1" applyBorder="1" applyAlignment="1"/>
    <xf numFmtId="0" fontId="4" fillId="10" borderId="0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right"/>
    </xf>
    <xf numFmtId="0" fontId="4" fillId="10" borderId="41" xfId="0" applyFont="1" applyFill="1" applyBorder="1" applyAlignment="1">
      <alignment horizontal="left"/>
    </xf>
    <xf numFmtId="0" fontId="4" fillId="10" borderId="2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40" xfId="0" applyFont="1" applyFill="1" applyBorder="1" applyAlignment="1">
      <alignment horizontal="left"/>
    </xf>
    <xf numFmtId="0" fontId="4" fillId="10" borderId="23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42" xfId="0" applyFont="1" applyFill="1" applyBorder="1" applyAlignment="1">
      <alignment horizontal="center"/>
    </xf>
    <xf numFmtId="0" fontId="4" fillId="10" borderId="24" xfId="0" applyFont="1" applyFill="1" applyBorder="1" applyAlignment="1"/>
    <xf numFmtId="0" fontId="4" fillId="10" borderId="24" xfId="0" applyFont="1" applyFill="1" applyBorder="1" applyAlignment="1">
      <alignment horizontal="center"/>
    </xf>
    <xf numFmtId="0" fontId="4" fillId="10" borderId="42" xfId="0" applyFont="1" applyFill="1" applyBorder="1" applyAlignment="1">
      <alignment horizontal="left"/>
    </xf>
    <xf numFmtId="0" fontId="4" fillId="10" borderId="24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3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7" xfId="0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8" xfId="0" applyFont="1" applyFill="1" applyBorder="1" applyAlignment="1">
      <alignment horizontal="center"/>
    </xf>
  </cellXfs>
  <cellStyles count="4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Standard" xfId="0" builtinId="0"/>
    <cellStyle name="Währung" xfId="11" builtin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2"/>
  <sheetViews>
    <sheetView tabSelected="1" workbookViewId="0">
      <selection activeCell="C20" sqref="C20:D20"/>
    </sheetView>
  </sheetViews>
  <sheetFormatPr baseColWidth="10" defaultRowHeight="15" x14ac:dyDescent="0.2"/>
  <cols>
    <col min="1" max="1" width="7.83203125" customWidth="1"/>
    <col min="2" max="2" width="8.6640625" customWidth="1"/>
    <col min="3" max="3" width="16.5" customWidth="1"/>
    <col min="4" max="4" width="8.6640625" customWidth="1"/>
    <col min="5" max="5" width="2.5" customWidth="1"/>
    <col min="6" max="6" width="1.5" customWidth="1"/>
    <col min="7" max="7" width="2.5" customWidth="1"/>
    <col min="8" max="8" width="3" customWidth="1"/>
    <col min="9" max="9" width="1.5" customWidth="1"/>
    <col min="10" max="10" width="3" customWidth="1"/>
    <col min="11" max="11" width="4" bestFit="1" customWidth="1"/>
    <col min="12" max="12" width="1.5" bestFit="1" customWidth="1"/>
    <col min="13" max="13" width="4" bestFit="1" customWidth="1"/>
    <col min="14" max="14" width="2.83203125" customWidth="1"/>
    <col min="15" max="15" width="8.6640625" customWidth="1"/>
    <col min="16" max="16" width="24.33203125" customWidth="1"/>
    <col min="17" max="17" width="2.5" customWidth="1"/>
    <col min="18" max="18" width="1.5" customWidth="1"/>
    <col min="19" max="19" width="2.5" customWidth="1"/>
    <col min="20" max="20" width="3" customWidth="1"/>
    <col min="21" max="21" width="1.5" customWidth="1"/>
    <col min="22" max="22" width="3.1640625" bestFit="1" customWidth="1"/>
    <col min="23" max="23" width="4" bestFit="1" customWidth="1"/>
    <col min="24" max="24" width="1.5" bestFit="1" customWidth="1"/>
    <col min="25" max="25" width="4" bestFit="1" customWidth="1"/>
    <col min="26" max="26" width="3.1640625" bestFit="1" customWidth="1"/>
    <col min="27" max="27" width="1.5" bestFit="1" customWidth="1"/>
    <col min="28" max="28" width="3.1640625" bestFit="1" customWidth="1"/>
    <col min="30" max="30" width="6" customWidth="1"/>
    <col min="31" max="31" width="17.5" bestFit="1" customWidth="1"/>
  </cols>
  <sheetData>
    <row r="1" spans="1:34" ht="22" thickBot="1" x14ac:dyDescent="0.3">
      <c r="A1" s="340" t="s">
        <v>100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2"/>
      <c r="AC1" s="6"/>
      <c r="AD1" s="6"/>
      <c r="AE1" s="6"/>
    </row>
    <row r="2" spans="1:34" ht="16" thickBot="1" x14ac:dyDescent="0.25">
      <c r="A2" s="271" t="s">
        <v>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7"/>
      <c r="AD2" s="7"/>
      <c r="AE2" s="7"/>
      <c r="AF2" s="1"/>
      <c r="AG2" s="1"/>
      <c r="AH2" s="1"/>
    </row>
    <row r="3" spans="1:34" x14ac:dyDescent="0.2">
      <c r="A3" s="258"/>
      <c r="B3" s="41"/>
      <c r="C3" s="307" t="s">
        <v>0</v>
      </c>
      <c r="D3" s="308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470"/>
      <c r="P3" s="471" t="s">
        <v>1</v>
      </c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3"/>
      <c r="AG3" s="2"/>
      <c r="AH3" s="2"/>
    </row>
    <row r="4" spans="1:34" ht="15" customHeight="1" x14ac:dyDescent="0.2">
      <c r="A4" s="259"/>
      <c r="B4" s="42" t="s">
        <v>3</v>
      </c>
      <c r="C4" s="359" t="s">
        <v>101</v>
      </c>
      <c r="D4" s="360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243" t="s">
        <v>6</v>
      </c>
      <c r="P4" s="472" t="s">
        <v>107</v>
      </c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5"/>
      <c r="AG4" s="3"/>
      <c r="AH4" s="3"/>
    </row>
    <row r="5" spans="1:34" x14ac:dyDescent="0.2">
      <c r="A5" s="259"/>
      <c r="B5" s="44" t="s">
        <v>4</v>
      </c>
      <c r="C5" s="361" t="s">
        <v>102</v>
      </c>
      <c r="D5" s="362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243" t="s">
        <v>7</v>
      </c>
      <c r="P5" s="473" t="s">
        <v>108</v>
      </c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G5" s="5"/>
      <c r="AH5" s="5"/>
    </row>
    <row r="6" spans="1:34" ht="16" thickBot="1" x14ac:dyDescent="0.25">
      <c r="A6" s="259"/>
      <c r="B6" s="46" t="s">
        <v>5</v>
      </c>
      <c r="C6" s="363" t="s">
        <v>103</v>
      </c>
      <c r="D6" s="364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244" t="s">
        <v>8</v>
      </c>
      <c r="P6" s="474" t="s">
        <v>109</v>
      </c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5"/>
      <c r="AG6" s="5"/>
      <c r="AH6" s="5"/>
    </row>
    <row r="7" spans="1:34" s="17" customFormat="1" ht="16" thickBot="1" x14ac:dyDescent="0.25">
      <c r="A7" s="259"/>
      <c r="B7" s="358"/>
      <c r="C7" s="358"/>
      <c r="D7" s="358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7"/>
      <c r="P7" s="357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19"/>
      <c r="AD7" s="16"/>
      <c r="AE7" s="18"/>
      <c r="AF7" s="20"/>
      <c r="AG7" s="4"/>
      <c r="AH7" s="4"/>
    </row>
    <row r="8" spans="1:34" s="17" customFormat="1" x14ac:dyDescent="0.2">
      <c r="A8" s="259"/>
      <c r="B8" s="475"/>
      <c r="C8" s="476" t="s">
        <v>2</v>
      </c>
      <c r="D8" s="477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8"/>
      <c r="P8" s="9" t="s">
        <v>15</v>
      </c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5"/>
      <c r="AC8" s="19"/>
      <c r="AD8" s="16"/>
      <c r="AE8" s="18"/>
      <c r="AF8" s="20"/>
      <c r="AG8" s="4"/>
      <c r="AH8" s="4"/>
    </row>
    <row r="9" spans="1:34" s="17" customFormat="1" ht="16" x14ac:dyDescent="0.2">
      <c r="A9" s="259"/>
      <c r="B9" s="478" t="s">
        <v>9</v>
      </c>
      <c r="C9" s="479" t="s">
        <v>104</v>
      </c>
      <c r="D9" s="480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11" t="s">
        <v>12</v>
      </c>
      <c r="P9" s="12" t="s">
        <v>110</v>
      </c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19"/>
      <c r="AD9" s="16"/>
      <c r="AE9" s="18"/>
      <c r="AF9" s="20"/>
      <c r="AG9" s="4"/>
      <c r="AH9" s="4"/>
    </row>
    <row r="10" spans="1:34" s="17" customFormat="1" x14ac:dyDescent="0.2">
      <c r="A10" s="259"/>
      <c r="B10" s="10" t="s">
        <v>10</v>
      </c>
      <c r="C10" s="481" t="s">
        <v>105</v>
      </c>
      <c r="D10" s="482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11" t="s">
        <v>13</v>
      </c>
      <c r="P10" s="12" t="s">
        <v>111</v>
      </c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5"/>
      <c r="AC10" s="19"/>
      <c r="AD10" s="16"/>
      <c r="AE10" s="18"/>
      <c r="AF10" s="20"/>
      <c r="AG10" s="4"/>
      <c r="AH10" s="4"/>
    </row>
    <row r="11" spans="1:34" s="17" customFormat="1" ht="16" thickBot="1" x14ac:dyDescent="0.25">
      <c r="A11" s="260"/>
      <c r="B11" s="13" t="s">
        <v>11</v>
      </c>
      <c r="C11" s="483" t="s">
        <v>106</v>
      </c>
      <c r="D11" s="484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14" t="s">
        <v>14</v>
      </c>
      <c r="P11" s="15" t="s">
        <v>112</v>
      </c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</row>
    <row r="12" spans="1:34" s="17" customFormat="1" ht="20" thickBot="1" x14ac:dyDescent="0.3">
      <c r="A12" s="343" t="s">
        <v>67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5"/>
    </row>
    <row r="13" spans="1:34" ht="16" thickBot="1" x14ac:dyDescent="0.25">
      <c r="A13" s="26" t="s">
        <v>16</v>
      </c>
      <c r="B13" s="58" t="s">
        <v>17</v>
      </c>
      <c r="C13" s="282" t="s">
        <v>18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4"/>
      <c r="O13" s="22" t="s">
        <v>39</v>
      </c>
      <c r="P13" s="58" t="s">
        <v>40</v>
      </c>
      <c r="Q13" s="282" t="s">
        <v>19</v>
      </c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346"/>
    </row>
    <row r="14" spans="1:34" ht="21" thickBot="1" x14ac:dyDescent="0.3">
      <c r="A14" s="351" t="s">
        <v>90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3"/>
    </row>
    <row r="15" spans="1:34" ht="16" thickBot="1" x14ac:dyDescent="0.25">
      <c r="A15" s="271" t="s">
        <v>50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3"/>
    </row>
    <row r="16" spans="1:34" x14ac:dyDescent="0.2">
      <c r="A16" s="27" t="s">
        <v>91</v>
      </c>
      <c r="B16" s="30" t="s">
        <v>20</v>
      </c>
      <c r="C16" s="278" t="str">
        <f>C4</f>
        <v>SC Union Lüdinghausen</v>
      </c>
      <c r="D16" s="279"/>
      <c r="E16" s="278" t="str">
        <f>C6</f>
        <v>TuS Velen</v>
      </c>
      <c r="F16" s="347"/>
      <c r="G16" s="347"/>
      <c r="H16" s="347"/>
      <c r="I16" s="347"/>
      <c r="J16" s="347"/>
      <c r="K16" s="347"/>
      <c r="L16" s="347"/>
      <c r="M16" s="347"/>
      <c r="N16" s="279"/>
      <c r="O16" s="23">
        <v>1</v>
      </c>
      <c r="P16" s="195" t="str">
        <f>P10</f>
        <v>USC Münster</v>
      </c>
      <c r="Q16" s="75">
        <f t="shared" ref="Q16:Q27" si="0">IF(T16="",0,IF(T16&gt;V16,1,0)+IF(W16&gt;Y16,1,0)+IF(Z16&gt;AB16,1,0))</f>
        <v>0</v>
      </c>
      <c r="R16" s="59" t="s">
        <v>69</v>
      </c>
      <c r="S16" s="61">
        <f t="shared" ref="S16:S27" si="1">IF(T16="",0,IF(T16&lt;V16,1,0)+IF(W16&lt;Y16,1,0)+IF(Z16&lt;AB16,1,0))</f>
        <v>0</v>
      </c>
      <c r="T16" s="75"/>
      <c r="U16" s="66" t="s">
        <v>69</v>
      </c>
      <c r="V16" s="61"/>
      <c r="W16" s="69"/>
      <c r="X16" s="66" t="s">
        <v>69</v>
      </c>
      <c r="Y16" s="61"/>
      <c r="Z16" s="67"/>
      <c r="AA16" s="66" t="s">
        <v>69</v>
      </c>
      <c r="AB16" s="62"/>
    </row>
    <row r="17" spans="1:28" x14ac:dyDescent="0.2">
      <c r="A17" s="28" t="s">
        <v>91</v>
      </c>
      <c r="B17" s="31" t="s">
        <v>23</v>
      </c>
      <c r="C17" s="276" t="str">
        <f>P4</f>
        <v>DJK Sümmern</v>
      </c>
      <c r="D17" s="277"/>
      <c r="E17" s="276" t="str">
        <f>P6</f>
        <v>Werdener TB</v>
      </c>
      <c r="F17" s="349"/>
      <c r="G17" s="349"/>
      <c r="H17" s="349"/>
      <c r="I17" s="349"/>
      <c r="J17" s="349"/>
      <c r="K17" s="349"/>
      <c r="L17" s="349"/>
      <c r="M17" s="349"/>
      <c r="N17" s="277"/>
      <c r="O17" s="24">
        <v>2</v>
      </c>
      <c r="P17" s="528" t="str">
        <f>C10</f>
        <v>RC Borken-Hoxfeld</v>
      </c>
      <c r="Q17" s="76">
        <f t="shared" si="0"/>
        <v>0</v>
      </c>
      <c r="R17" s="60" t="s">
        <v>69</v>
      </c>
      <c r="S17" s="71">
        <f t="shared" si="1"/>
        <v>0</v>
      </c>
      <c r="T17" s="76"/>
      <c r="U17" s="74" t="s">
        <v>69</v>
      </c>
      <c r="V17" s="71"/>
      <c r="W17" s="68"/>
      <c r="X17" s="74" t="s">
        <v>69</v>
      </c>
      <c r="Y17" s="71"/>
      <c r="Z17" s="68"/>
      <c r="AA17" s="74" t="s">
        <v>69</v>
      </c>
      <c r="AB17" s="63"/>
    </row>
    <row r="18" spans="1:28" x14ac:dyDescent="0.2">
      <c r="A18" s="28" t="s">
        <v>91</v>
      </c>
      <c r="B18" s="31" t="s">
        <v>24</v>
      </c>
      <c r="C18" s="280" t="str">
        <f>C9</f>
        <v>VoR Paderborn</v>
      </c>
      <c r="D18" s="281"/>
      <c r="E18" s="280" t="str">
        <f>C11</f>
        <v>SC GW Paderborn</v>
      </c>
      <c r="F18" s="348"/>
      <c r="G18" s="348"/>
      <c r="H18" s="348"/>
      <c r="I18" s="348"/>
      <c r="J18" s="348"/>
      <c r="K18" s="348"/>
      <c r="L18" s="348"/>
      <c r="M18" s="348"/>
      <c r="N18" s="281"/>
      <c r="O18" s="24">
        <v>3</v>
      </c>
      <c r="P18" s="48" t="str">
        <f>C5</f>
        <v>TSV Bayer Dormagen</v>
      </c>
      <c r="Q18" s="76">
        <f t="shared" si="0"/>
        <v>0</v>
      </c>
      <c r="R18" s="60" t="s">
        <v>69</v>
      </c>
      <c r="S18" s="71">
        <f t="shared" si="1"/>
        <v>0</v>
      </c>
      <c r="T18" s="76"/>
      <c r="U18" s="74" t="s">
        <v>69</v>
      </c>
      <c r="V18" s="71"/>
      <c r="W18" s="68"/>
      <c r="X18" s="74" t="s">
        <v>69</v>
      </c>
      <c r="Y18" s="71"/>
      <c r="Z18" s="68"/>
      <c r="AA18" s="74" t="s">
        <v>69</v>
      </c>
      <c r="AB18" s="63"/>
    </row>
    <row r="19" spans="1:28" ht="16" thickBot="1" x14ac:dyDescent="0.25">
      <c r="A19" s="29" t="s">
        <v>91</v>
      </c>
      <c r="B19" s="32" t="s">
        <v>25</v>
      </c>
      <c r="C19" s="263" t="str">
        <f>P9</f>
        <v>VV Schwerte</v>
      </c>
      <c r="D19" s="264"/>
      <c r="E19" s="263" t="str">
        <f>P11</f>
        <v>Lüner SV</v>
      </c>
      <c r="F19" s="350"/>
      <c r="G19" s="350"/>
      <c r="H19" s="350"/>
      <c r="I19" s="350"/>
      <c r="J19" s="350"/>
      <c r="K19" s="350"/>
      <c r="L19" s="350"/>
      <c r="M19" s="350"/>
      <c r="N19" s="264"/>
      <c r="O19" s="25">
        <v>4</v>
      </c>
      <c r="P19" s="485" t="str">
        <f>P5</f>
        <v>SV Wachtberg</v>
      </c>
      <c r="Q19" s="196">
        <f t="shared" si="0"/>
        <v>0</v>
      </c>
      <c r="R19" s="197" t="s">
        <v>69</v>
      </c>
      <c r="S19" s="198">
        <f t="shared" si="1"/>
        <v>0</v>
      </c>
      <c r="T19" s="196"/>
      <c r="U19" s="199" t="s">
        <v>69</v>
      </c>
      <c r="V19" s="198"/>
      <c r="W19" s="200"/>
      <c r="X19" s="199" t="s">
        <v>69</v>
      </c>
      <c r="Y19" s="198"/>
      <c r="Z19" s="200"/>
      <c r="AA19" s="199" t="s">
        <v>69</v>
      </c>
      <c r="AB19" s="201"/>
    </row>
    <row r="20" spans="1:28" x14ac:dyDescent="0.2">
      <c r="A20" s="27" t="s">
        <v>92</v>
      </c>
      <c r="B20" s="30" t="s">
        <v>21</v>
      </c>
      <c r="C20" s="278" t="str">
        <f>C5</f>
        <v>TSV Bayer Dormagen</v>
      </c>
      <c r="D20" s="279"/>
      <c r="E20" s="278" t="str">
        <f>C6</f>
        <v>TuS Velen</v>
      </c>
      <c r="F20" s="347"/>
      <c r="G20" s="347"/>
      <c r="H20" s="347"/>
      <c r="I20" s="347"/>
      <c r="J20" s="347"/>
      <c r="K20" s="347"/>
      <c r="L20" s="347"/>
      <c r="M20" s="347"/>
      <c r="N20" s="279"/>
      <c r="O20" s="23">
        <v>1</v>
      </c>
      <c r="P20" s="195" t="str">
        <f>P9</f>
        <v>VV Schwerte</v>
      </c>
      <c r="Q20" s="75">
        <f>IF(T20="",0,IF(T20&gt;V20,1,0)+IF(W20&gt;Y20,1,0)+IF(Z20&gt;AB20,1,0))</f>
        <v>0</v>
      </c>
      <c r="R20" s="59" t="s">
        <v>69</v>
      </c>
      <c r="S20" s="61">
        <f>IF(T20="",0,IF(T20&lt;V20,1,0)+IF(W20&lt;Y20,1,0)+IF(Z20&lt;AB20,1,0))</f>
        <v>0</v>
      </c>
      <c r="T20" s="75"/>
      <c r="U20" s="66" t="s">
        <v>69</v>
      </c>
      <c r="V20" s="61"/>
      <c r="W20" s="69"/>
      <c r="X20" s="66" t="s">
        <v>69</v>
      </c>
      <c r="Y20" s="61"/>
      <c r="Z20" s="67"/>
      <c r="AA20" s="66" t="s">
        <v>69</v>
      </c>
      <c r="AB20" s="62"/>
    </row>
    <row r="21" spans="1:28" x14ac:dyDescent="0.2">
      <c r="A21" s="28" t="s">
        <v>92</v>
      </c>
      <c r="B21" s="31" t="s">
        <v>26</v>
      </c>
      <c r="C21" s="276" t="str">
        <f>P5</f>
        <v>SV Wachtberg</v>
      </c>
      <c r="D21" s="277"/>
      <c r="E21" s="276" t="str">
        <f>P6</f>
        <v>Werdener TB</v>
      </c>
      <c r="F21" s="349"/>
      <c r="G21" s="349"/>
      <c r="H21" s="349"/>
      <c r="I21" s="349"/>
      <c r="J21" s="349"/>
      <c r="K21" s="349"/>
      <c r="L21" s="349"/>
      <c r="M21" s="349"/>
      <c r="N21" s="277"/>
      <c r="O21" s="24">
        <v>2</v>
      </c>
      <c r="P21" s="528" t="str">
        <f>C9</f>
        <v>VoR Paderborn</v>
      </c>
      <c r="Q21" s="76">
        <f t="shared" si="0"/>
        <v>0</v>
      </c>
      <c r="R21" s="60" t="s">
        <v>69</v>
      </c>
      <c r="S21" s="71">
        <f t="shared" si="1"/>
        <v>0</v>
      </c>
      <c r="T21" s="76"/>
      <c r="U21" s="74" t="s">
        <v>69</v>
      </c>
      <c r="V21" s="71"/>
      <c r="W21" s="68"/>
      <c r="X21" s="74" t="s">
        <v>69</v>
      </c>
      <c r="Y21" s="71"/>
      <c r="Z21" s="68"/>
      <c r="AA21" s="74" t="s">
        <v>69</v>
      </c>
      <c r="AB21" s="63"/>
    </row>
    <row r="22" spans="1:28" x14ac:dyDescent="0.2">
      <c r="A22" s="28" t="s">
        <v>92</v>
      </c>
      <c r="B22" s="31" t="s">
        <v>27</v>
      </c>
      <c r="C22" s="280" t="str">
        <f>C10</f>
        <v>RC Borken-Hoxfeld</v>
      </c>
      <c r="D22" s="281"/>
      <c r="E22" s="280" t="str">
        <f>C11</f>
        <v>SC GW Paderborn</v>
      </c>
      <c r="F22" s="348"/>
      <c r="G22" s="348"/>
      <c r="H22" s="348"/>
      <c r="I22" s="348"/>
      <c r="J22" s="348"/>
      <c r="K22" s="348"/>
      <c r="L22" s="348"/>
      <c r="M22" s="348"/>
      <c r="N22" s="281"/>
      <c r="O22" s="24">
        <v>3</v>
      </c>
      <c r="P22" s="48" t="str">
        <f>C4</f>
        <v>SC Union Lüdinghausen</v>
      </c>
      <c r="Q22" s="76">
        <f t="shared" si="0"/>
        <v>0</v>
      </c>
      <c r="R22" s="60" t="s">
        <v>69</v>
      </c>
      <c r="S22" s="71">
        <f t="shared" si="1"/>
        <v>0</v>
      </c>
      <c r="T22" s="76"/>
      <c r="U22" s="74" t="s">
        <v>69</v>
      </c>
      <c r="V22" s="71"/>
      <c r="W22" s="68"/>
      <c r="X22" s="74" t="s">
        <v>69</v>
      </c>
      <c r="Y22" s="71"/>
      <c r="Z22" s="68"/>
      <c r="AA22" s="74" t="s">
        <v>69</v>
      </c>
      <c r="AB22" s="63"/>
    </row>
    <row r="23" spans="1:28" ht="16" thickBot="1" x14ac:dyDescent="0.25">
      <c r="A23" s="29" t="s">
        <v>92</v>
      </c>
      <c r="B23" s="32" t="s">
        <v>28</v>
      </c>
      <c r="C23" s="263" t="str">
        <f>P10</f>
        <v>USC Münster</v>
      </c>
      <c r="D23" s="264"/>
      <c r="E23" s="263" t="str">
        <f>P11</f>
        <v>Lüner SV</v>
      </c>
      <c r="F23" s="350"/>
      <c r="G23" s="350"/>
      <c r="H23" s="350"/>
      <c r="I23" s="350"/>
      <c r="J23" s="350"/>
      <c r="K23" s="350"/>
      <c r="L23" s="350"/>
      <c r="M23" s="350"/>
      <c r="N23" s="264"/>
      <c r="O23" s="25">
        <v>4</v>
      </c>
      <c r="P23" s="485" t="str">
        <f>P4</f>
        <v>DJK Sümmern</v>
      </c>
      <c r="Q23" s="196">
        <f t="shared" si="0"/>
        <v>0</v>
      </c>
      <c r="R23" s="197" t="s">
        <v>69</v>
      </c>
      <c r="S23" s="198">
        <f t="shared" si="1"/>
        <v>0</v>
      </c>
      <c r="T23" s="196"/>
      <c r="U23" s="199" t="s">
        <v>69</v>
      </c>
      <c r="V23" s="198"/>
      <c r="W23" s="200"/>
      <c r="X23" s="199" t="s">
        <v>69</v>
      </c>
      <c r="Y23" s="198"/>
      <c r="Z23" s="200"/>
      <c r="AA23" s="199" t="s">
        <v>69</v>
      </c>
      <c r="AB23" s="201"/>
    </row>
    <row r="24" spans="1:28" x14ac:dyDescent="0.2">
      <c r="A24" s="27" t="s">
        <v>93</v>
      </c>
      <c r="B24" s="30" t="s">
        <v>22</v>
      </c>
      <c r="C24" s="278" t="str">
        <f>C4</f>
        <v>SC Union Lüdinghausen</v>
      </c>
      <c r="D24" s="279"/>
      <c r="E24" s="278" t="str">
        <f>C5</f>
        <v>TSV Bayer Dormagen</v>
      </c>
      <c r="F24" s="347"/>
      <c r="G24" s="347"/>
      <c r="H24" s="347"/>
      <c r="I24" s="347"/>
      <c r="J24" s="347"/>
      <c r="K24" s="347"/>
      <c r="L24" s="347"/>
      <c r="M24" s="347"/>
      <c r="N24" s="279"/>
      <c r="O24" s="23">
        <v>1</v>
      </c>
      <c r="P24" s="195" t="str">
        <f>P11</f>
        <v>Lüner SV</v>
      </c>
      <c r="Q24" s="75">
        <f t="shared" si="0"/>
        <v>0</v>
      </c>
      <c r="R24" s="59" t="s">
        <v>69</v>
      </c>
      <c r="S24" s="61">
        <f t="shared" si="1"/>
        <v>0</v>
      </c>
      <c r="T24" s="75"/>
      <c r="U24" s="66" t="s">
        <v>69</v>
      </c>
      <c r="V24" s="61"/>
      <c r="W24" s="69"/>
      <c r="X24" s="66" t="s">
        <v>69</v>
      </c>
      <c r="Y24" s="61"/>
      <c r="Z24" s="67"/>
      <c r="AA24" s="66" t="s">
        <v>69</v>
      </c>
      <c r="AB24" s="62"/>
    </row>
    <row r="25" spans="1:28" x14ac:dyDescent="0.2">
      <c r="A25" s="28" t="s">
        <v>93</v>
      </c>
      <c r="B25" s="31" t="s">
        <v>29</v>
      </c>
      <c r="C25" s="276" t="str">
        <f>P4</f>
        <v>DJK Sümmern</v>
      </c>
      <c r="D25" s="277"/>
      <c r="E25" s="276" t="str">
        <f>P5</f>
        <v>SV Wachtberg</v>
      </c>
      <c r="F25" s="349"/>
      <c r="G25" s="349"/>
      <c r="H25" s="349"/>
      <c r="I25" s="349"/>
      <c r="J25" s="349"/>
      <c r="K25" s="349"/>
      <c r="L25" s="349"/>
      <c r="M25" s="349"/>
      <c r="N25" s="277"/>
      <c r="O25" s="24">
        <v>2</v>
      </c>
      <c r="P25" s="528" t="str">
        <f>C11</f>
        <v>SC GW Paderborn</v>
      </c>
      <c r="Q25" s="76">
        <f>IF(T25="",0,IF(T25&gt;V25,1,0)+IF(W25&gt;Y25,1,0)+IF(Z25&gt;AB25,1,0))</f>
        <v>0</v>
      </c>
      <c r="R25" s="60" t="s">
        <v>69</v>
      </c>
      <c r="S25" s="71">
        <f>IF(T25="",0,IF(T25&lt;V25,1,0)+IF(W25&lt;Y25,1,0)+IF(Z25&lt;AB25,1,0))</f>
        <v>0</v>
      </c>
      <c r="T25" s="76"/>
      <c r="U25" s="74" t="s">
        <v>69</v>
      </c>
      <c r="V25" s="71"/>
      <c r="W25" s="68"/>
      <c r="X25" s="74" t="s">
        <v>69</v>
      </c>
      <c r="Y25" s="71"/>
      <c r="Z25" s="68"/>
      <c r="AA25" s="74" t="s">
        <v>69</v>
      </c>
      <c r="AB25" s="63"/>
    </row>
    <row r="26" spans="1:28" x14ac:dyDescent="0.2">
      <c r="A26" s="28" t="s">
        <v>93</v>
      </c>
      <c r="B26" s="31" t="s">
        <v>30</v>
      </c>
      <c r="C26" s="280" t="str">
        <f>C9</f>
        <v>VoR Paderborn</v>
      </c>
      <c r="D26" s="281"/>
      <c r="E26" s="280" t="str">
        <f>C10</f>
        <v>RC Borken-Hoxfeld</v>
      </c>
      <c r="F26" s="348"/>
      <c r="G26" s="348"/>
      <c r="H26" s="348"/>
      <c r="I26" s="348"/>
      <c r="J26" s="348"/>
      <c r="K26" s="348"/>
      <c r="L26" s="348"/>
      <c r="M26" s="348"/>
      <c r="N26" s="281"/>
      <c r="O26" s="24">
        <v>3</v>
      </c>
      <c r="P26" s="48" t="str">
        <f>C6</f>
        <v>TuS Velen</v>
      </c>
      <c r="Q26" s="76">
        <f>IF(T26="",0,IF(T26&gt;V26,1,0)+IF(W26&gt;Y26,1,0)+IF(Z26&gt;AB26,1,0))</f>
        <v>0</v>
      </c>
      <c r="R26" s="60" t="s">
        <v>69</v>
      </c>
      <c r="S26" s="71">
        <f>IF(T26="",0,IF(T26&lt;V26,1,0)+IF(W26&lt;Y26,1,0)+IF(Z26&lt;AB26,1,0))</f>
        <v>0</v>
      </c>
      <c r="T26" s="76"/>
      <c r="U26" s="74" t="s">
        <v>69</v>
      </c>
      <c r="V26" s="71"/>
      <c r="W26" s="68"/>
      <c r="X26" s="74" t="s">
        <v>69</v>
      </c>
      <c r="Y26" s="71"/>
      <c r="Z26" s="68"/>
      <c r="AA26" s="74" t="s">
        <v>69</v>
      </c>
      <c r="AB26" s="63"/>
    </row>
    <row r="27" spans="1:28" ht="16" thickBot="1" x14ac:dyDescent="0.25">
      <c r="A27" s="29" t="s">
        <v>93</v>
      </c>
      <c r="B27" s="32" t="s">
        <v>31</v>
      </c>
      <c r="C27" s="263" t="str">
        <f>P9</f>
        <v>VV Schwerte</v>
      </c>
      <c r="D27" s="264"/>
      <c r="E27" s="263" t="str">
        <f>P10</f>
        <v>USC Münster</v>
      </c>
      <c r="F27" s="350"/>
      <c r="G27" s="350"/>
      <c r="H27" s="350"/>
      <c r="I27" s="350"/>
      <c r="J27" s="350"/>
      <c r="K27" s="350"/>
      <c r="L27" s="350"/>
      <c r="M27" s="350"/>
      <c r="N27" s="264"/>
      <c r="O27" s="25">
        <v>4</v>
      </c>
      <c r="P27" s="485" t="str">
        <f>P6</f>
        <v>Werdener TB</v>
      </c>
      <c r="Q27" s="196">
        <f t="shared" si="0"/>
        <v>0</v>
      </c>
      <c r="R27" s="197" t="s">
        <v>69</v>
      </c>
      <c r="S27" s="198">
        <f t="shared" si="1"/>
        <v>0</v>
      </c>
      <c r="T27" s="196"/>
      <c r="U27" s="199" t="s">
        <v>69</v>
      </c>
      <c r="V27" s="198"/>
      <c r="W27" s="200"/>
      <c r="X27" s="199" t="s">
        <v>69</v>
      </c>
      <c r="Y27" s="198"/>
      <c r="Z27" s="200"/>
      <c r="AA27" s="199" t="s">
        <v>69</v>
      </c>
      <c r="AB27" s="201"/>
    </row>
    <row r="28" spans="1:28" s="17" customFormat="1" ht="16" thickBot="1" x14ac:dyDescent="0.25">
      <c r="A28" s="271" t="s">
        <v>66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3"/>
    </row>
    <row r="29" spans="1:28" x14ac:dyDescent="0.2">
      <c r="A29" s="258"/>
      <c r="B29" s="41"/>
      <c r="C29" s="307" t="s">
        <v>0</v>
      </c>
      <c r="D29" s="308"/>
      <c r="E29" s="289" t="s">
        <v>70</v>
      </c>
      <c r="F29" s="290"/>
      <c r="G29" s="291"/>
      <c r="H29" s="292" t="s">
        <v>71</v>
      </c>
      <c r="I29" s="290"/>
      <c r="J29" s="291"/>
      <c r="K29" s="290" t="s">
        <v>72</v>
      </c>
      <c r="L29" s="290"/>
      <c r="M29" s="293"/>
      <c r="N29" s="331"/>
      <c r="O29" s="486"/>
      <c r="P29" s="487" t="s">
        <v>1</v>
      </c>
      <c r="Q29" s="294" t="s">
        <v>70</v>
      </c>
      <c r="R29" s="295"/>
      <c r="S29" s="296"/>
      <c r="T29" s="295" t="s">
        <v>71</v>
      </c>
      <c r="U29" s="295"/>
      <c r="V29" s="296"/>
      <c r="W29" s="295" t="s">
        <v>72</v>
      </c>
      <c r="X29" s="295"/>
      <c r="Y29" s="297"/>
      <c r="Z29" s="322"/>
      <c r="AA29" s="322"/>
      <c r="AB29" s="323"/>
    </row>
    <row r="30" spans="1:28" ht="16" x14ac:dyDescent="0.2">
      <c r="A30" s="259"/>
      <c r="B30" s="42" t="str">
        <f>'Gruppe A'!A8</f>
        <v>1.</v>
      </c>
      <c r="C30" s="269" t="str">
        <f>'Gruppe A'!B8</f>
        <v/>
      </c>
      <c r="D30" s="270"/>
      <c r="E30" s="365" t="str">
        <f>'Gruppe A'!K8</f>
        <v/>
      </c>
      <c r="F30" s="366"/>
      <c r="G30" s="367"/>
      <c r="H30" s="103" t="str">
        <f>'Gruppe A'!N8</f>
        <v/>
      </c>
      <c r="I30" s="97" t="s">
        <v>69</v>
      </c>
      <c r="J30" s="94" t="str">
        <f>'Gruppe A'!P8</f>
        <v/>
      </c>
      <c r="K30" s="100" t="str">
        <f>'Gruppe A'!Q8</f>
        <v/>
      </c>
      <c r="L30" s="97" t="s">
        <v>69</v>
      </c>
      <c r="M30" s="43" t="str">
        <f>'Gruppe A'!S8</f>
        <v/>
      </c>
      <c r="N30" s="332"/>
      <c r="O30" s="488" t="str">
        <f>'Gruppe B'!A8</f>
        <v>1.</v>
      </c>
      <c r="P30" s="489" t="str">
        <f>'Gruppe B'!B8</f>
        <v/>
      </c>
      <c r="Q30" s="490" t="str">
        <f>'Gruppe B'!K8</f>
        <v/>
      </c>
      <c r="R30" s="491"/>
      <c r="S30" s="492"/>
      <c r="T30" s="493" t="str">
        <f>'Gruppe B'!N8</f>
        <v/>
      </c>
      <c r="U30" s="494" t="s">
        <v>69</v>
      </c>
      <c r="V30" s="495" t="str">
        <f>'Gruppe B'!P8</f>
        <v/>
      </c>
      <c r="W30" s="496" t="str">
        <f>'Gruppe B'!Q8</f>
        <v/>
      </c>
      <c r="X30" s="494" t="s">
        <v>69</v>
      </c>
      <c r="Y30" s="473" t="str">
        <f>'Gruppe B'!S8</f>
        <v/>
      </c>
      <c r="Z30" s="324"/>
      <c r="AA30" s="324"/>
      <c r="AB30" s="325"/>
    </row>
    <row r="31" spans="1:28" x14ac:dyDescent="0.2">
      <c r="A31" s="259"/>
      <c r="B31" s="106" t="str">
        <f>'Gruppe A'!A9</f>
        <v/>
      </c>
      <c r="C31" s="334" t="str">
        <f>'Gruppe A'!B9</f>
        <v/>
      </c>
      <c r="D31" s="335"/>
      <c r="E31" s="368" t="str">
        <f>'Gruppe A'!K9</f>
        <v/>
      </c>
      <c r="F31" s="369"/>
      <c r="G31" s="370"/>
      <c r="H31" s="104" t="str">
        <f>'Gruppe A'!N9</f>
        <v/>
      </c>
      <c r="I31" s="98" t="s">
        <v>69</v>
      </c>
      <c r="J31" s="95" t="str">
        <f>'Gruppe A'!P9</f>
        <v/>
      </c>
      <c r="K31" s="101" t="str">
        <f>'Gruppe A'!Q9</f>
        <v/>
      </c>
      <c r="L31" s="98" t="s">
        <v>69</v>
      </c>
      <c r="M31" s="45" t="str">
        <f>'Gruppe A'!S9</f>
        <v/>
      </c>
      <c r="N31" s="332"/>
      <c r="O31" s="488" t="str">
        <f>'Gruppe B'!A9</f>
        <v/>
      </c>
      <c r="P31" s="497" t="str">
        <f>'Gruppe B'!B9</f>
        <v/>
      </c>
      <c r="Q31" s="498" t="str">
        <f>'Gruppe B'!K9</f>
        <v/>
      </c>
      <c r="R31" s="499"/>
      <c r="S31" s="500"/>
      <c r="T31" s="493" t="str">
        <f>'Gruppe B'!N9</f>
        <v/>
      </c>
      <c r="U31" s="494" t="s">
        <v>69</v>
      </c>
      <c r="V31" s="495" t="str">
        <f>'Gruppe B'!P9</f>
        <v/>
      </c>
      <c r="W31" s="496" t="str">
        <f>'Gruppe B'!Q9</f>
        <v/>
      </c>
      <c r="X31" s="494" t="s">
        <v>69</v>
      </c>
      <c r="Y31" s="473" t="str">
        <f>'Gruppe B'!S9</f>
        <v/>
      </c>
      <c r="Z31" s="324"/>
      <c r="AA31" s="324"/>
      <c r="AB31" s="325"/>
    </row>
    <row r="32" spans="1:28" ht="16" thickBot="1" x14ac:dyDescent="0.25">
      <c r="A32" s="259"/>
      <c r="B32" s="107" t="str">
        <f>'Gruppe A'!A10</f>
        <v/>
      </c>
      <c r="C32" s="261" t="str">
        <f>'Gruppe A'!B10</f>
        <v/>
      </c>
      <c r="D32" s="262"/>
      <c r="E32" s="371" t="str">
        <f>'Gruppe A'!K10</f>
        <v/>
      </c>
      <c r="F32" s="372"/>
      <c r="G32" s="373"/>
      <c r="H32" s="105" t="str">
        <f>'Gruppe A'!N10</f>
        <v/>
      </c>
      <c r="I32" s="99" t="s">
        <v>69</v>
      </c>
      <c r="J32" s="96" t="str">
        <f>'Gruppe A'!P10</f>
        <v/>
      </c>
      <c r="K32" s="102" t="str">
        <f>'Gruppe A'!Q10</f>
        <v/>
      </c>
      <c r="L32" s="99" t="s">
        <v>69</v>
      </c>
      <c r="M32" s="47" t="str">
        <f>'Gruppe A'!S10</f>
        <v/>
      </c>
      <c r="N32" s="332"/>
      <c r="O32" s="501" t="str">
        <f>'Gruppe B'!A10</f>
        <v/>
      </c>
      <c r="P32" s="502" t="str">
        <f>'Gruppe B'!B10</f>
        <v/>
      </c>
      <c r="Q32" s="503" t="str">
        <f>'Gruppe B'!K10</f>
        <v/>
      </c>
      <c r="R32" s="504"/>
      <c r="S32" s="505"/>
      <c r="T32" s="506" t="str">
        <f>'Gruppe B'!N10</f>
        <v/>
      </c>
      <c r="U32" s="507" t="s">
        <v>69</v>
      </c>
      <c r="V32" s="508" t="str">
        <f>'Gruppe B'!P10</f>
        <v/>
      </c>
      <c r="W32" s="509" t="str">
        <f>'Gruppe B'!Q10</f>
        <v/>
      </c>
      <c r="X32" s="507" t="s">
        <v>69</v>
      </c>
      <c r="Y32" s="474" t="str">
        <f>'Gruppe B'!S10</f>
        <v/>
      </c>
      <c r="Z32" s="324"/>
      <c r="AA32" s="324"/>
      <c r="AB32" s="325"/>
    </row>
    <row r="33" spans="1:28" ht="16" thickBot="1" x14ac:dyDescent="0.25">
      <c r="A33" s="259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4"/>
      <c r="AA33" s="324"/>
      <c r="AB33" s="325"/>
    </row>
    <row r="34" spans="1:28" x14ac:dyDescent="0.2">
      <c r="A34" s="259"/>
      <c r="B34" s="475"/>
      <c r="C34" s="476" t="s">
        <v>2</v>
      </c>
      <c r="D34" s="477"/>
      <c r="E34" s="313" t="s">
        <v>70</v>
      </c>
      <c r="F34" s="314"/>
      <c r="G34" s="315"/>
      <c r="H34" s="510" t="s">
        <v>71</v>
      </c>
      <c r="I34" s="314"/>
      <c r="J34" s="315"/>
      <c r="K34" s="510" t="s">
        <v>72</v>
      </c>
      <c r="L34" s="314"/>
      <c r="M34" s="316"/>
      <c r="N34" s="329"/>
      <c r="O34" s="8"/>
      <c r="P34" s="85" t="s">
        <v>15</v>
      </c>
      <c r="Q34" s="320" t="s">
        <v>70</v>
      </c>
      <c r="R34" s="318"/>
      <c r="S34" s="319"/>
      <c r="T34" s="317" t="s">
        <v>71</v>
      </c>
      <c r="U34" s="318"/>
      <c r="V34" s="319"/>
      <c r="W34" s="317" t="s">
        <v>72</v>
      </c>
      <c r="X34" s="318"/>
      <c r="Y34" s="321"/>
      <c r="Z34" s="324"/>
      <c r="AA34" s="324"/>
      <c r="AB34" s="325"/>
    </row>
    <row r="35" spans="1:28" ht="16" x14ac:dyDescent="0.2">
      <c r="A35" s="259"/>
      <c r="B35" s="478" t="str">
        <f>'Gruppe C'!A8</f>
        <v>1.</v>
      </c>
      <c r="C35" s="479" t="str">
        <f>'Gruppe C'!B8</f>
        <v/>
      </c>
      <c r="D35" s="480"/>
      <c r="E35" s="511" t="str">
        <f>'Gruppe C'!K8</f>
        <v/>
      </c>
      <c r="F35" s="512"/>
      <c r="G35" s="513"/>
      <c r="H35" s="514" t="str">
        <f>'Gruppe C'!N8</f>
        <v/>
      </c>
      <c r="I35" s="515" t="s">
        <v>69</v>
      </c>
      <c r="J35" s="516" t="str">
        <f>'Gruppe C'!P8</f>
        <v/>
      </c>
      <c r="K35" s="514" t="str">
        <f>'Gruppe C'!Q8</f>
        <v/>
      </c>
      <c r="L35" s="515" t="s">
        <v>69</v>
      </c>
      <c r="M35" s="517" t="str">
        <f>'Gruppe C'!S8</f>
        <v/>
      </c>
      <c r="N35" s="329"/>
      <c r="O35" s="11" t="str">
        <f>'Gruppe D'!A8</f>
        <v>1.</v>
      </c>
      <c r="P35" s="12" t="str">
        <f>'Gruppe D'!B8</f>
        <v/>
      </c>
      <c r="Q35" s="245" t="str">
        <f>'Gruppe D'!K8</f>
        <v/>
      </c>
      <c r="R35" s="246"/>
      <c r="S35" s="247"/>
      <c r="T35" s="90" t="str">
        <f>'Gruppe D'!N8</f>
        <v/>
      </c>
      <c r="U35" s="88" t="s">
        <v>69</v>
      </c>
      <c r="V35" s="86" t="str">
        <f>'Gruppe D'!P8</f>
        <v/>
      </c>
      <c r="W35" s="90" t="str">
        <f>'Gruppe D'!Q8</f>
        <v/>
      </c>
      <c r="X35" s="88" t="s">
        <v>69</v>
      </c>
      <c r="Y35" s="92" t="str">
        <f>'Gruppe D'!S8</f>
        <v/>
      </c>
      <c r="Z35" s="324"/>
      <c r="AA35" s="324"/>
      <c r="AB35" s="325"/>
    </row>
    <row r="36" spans="1:28" x14ac:dyDescent="0.2">
      <c r="A36" s="259"/>
      <c r="B36" s="10" t="str">
        <f>'Gruppe C'!A9</f>
        <v/>
      </c>
      <c r="C36" s="481" t="str">
        <f>'Gruppe C'!B9</f>
        <v/>
      </c>
      <c r="D36" s="482"/>
      <c r="E36" s="518" t="str">
        <f>'Gruppe C'!K9</f>
        <v/>
      </c>
      <c r="F36" s="519"/>
      <c r="G36" s="520"/>
      <c r="H36" s="514" t="str">
        <f>'Gruppe C'!N9</f>
        <v/>
      </c>
      <c r="I36" s="515" t="s">
        <v>69</v>
      </c>
      <c r="J36" s="516" t="str">
        <f>'Gruppe C'!P9</f>
        <v/>
      </c>
      <c r="K36" s="514" t="str">
        <f>'Gruppe C'!Q9</f>
        <v/>
      </c>
      <c r="L36" s="515" t="s">
        <v>69</v>
      </c>
      <c r="M36" s="517" t="str">
        <f>'Gruppe C'!S9</f>
        <v/>
      </c>
      <c r="N36" s="329"/>
      <c r="O36" s="11" t="str">
        <f>'Gruppe D'!A9</f>
        <v/>
      </c>
      <c r="P36" s="12" t="str">
        <f>'Gruppe D'!B9</f>
        <v/>
      </c>
      <c r="Q36" s="248" t="str">
        <f>'Gruppe D'!K9</f>
        <v/>
      </c>
      <c r="R36" s="249"/>
      <c r="S36" s="250"/>
      <c r="T36" s="90" t="str">
        <f>'Gruppe D'!N9</f>
        <v/>
      </c>
      <c r="U36" s="88" t="s">
        <v>69</v>
      </c>
      <c r="V36" s="86" t="str">
        <f>'Gruppe D'!P9</f>
        <v/>
      </c>
      <c r="W36" s="90" t="str">
        <f>'Gruppe D'!Q9</f>
        <v/>
      </c>
      <c r="X36" s="88" t="s">
        <v>69</v>
      </c>
      <c r="Y36" s="92" t="str">
        <f>'Gruppe D'!S9</f>
        <v/>
      </c>
      <c r="Z36" s="324"/>
      <c r="AA36" s="324"/>
      <c r="AB36" s="325"/>
    </row>
    <row r="37" spans="1:28" ht="16" thickBot="1" x14ac:dyDescent="0.25">
      <c r="A37" s="260"/>
      <c r="B37" s="13" t="str">
        <f>'Gruppe C'!A10</f>
        <v/>
      </c>
      <c r="C37" s="483" t="str">
        <f>'Gruppe C'!B10</f>
        <v/>
      </c>
      <c r="D37" s="484"/>
      <c r="E37" s="521" t="str">
        <f>'Gruppe C'!K10</f>
        <v/>
      </c>
      <c r="F37" s="522"/>
      <c r="G37" s="523"/>
      <c r="H37" s="524" t="str">
        <f>'Gruppe C'!N10</f>
        <v/>
      </c>
      <c r="I37" s="525" t="s">
        <v>69</v>
      </c>
      <c r="J37" s="526" t="str">
        <f>'Gruppe C'!P10</f>
        <v/>
      </c>
      <c r="K37" s="524" t="str">
        <f>'Gruppe C'!Q10</f>
        <v/>
      </c>
      <c r="L37" s="525" t="s">
        <v>69</v>
      </c>
      <c r="M37" s="527" t="str">
        <f>'Gruppe C'!S10</f>
        <v/>
      </c>
      <c r="N37" s="330"/>
      <c r="O37" s="14" t="str">
        <f>'Gruppe D'!A10</f>
        <v/>
      </c>
      <c r="P37" s="15" t="str">
        <f>'Gruppe D'!B10</f>
        <v/>
      </c>
      <c r="Q37" s="251" t="str">
        <f>'Gruppe D'!K10</f>
        <v/>
      </c>
      <c r="R37" s="252"/>
      <c r="S37" s="253"/>
      <c r="T37" s="91" t="str">
        <f>'Gruppe D'!N10</f>
        <v/>
      </c>
      <c r="U37" s="89" t="s">
        <v>69</v>
      </c>
      <c r="V37" s="87" t="str">
        <f>'Gruppe D'!P10</f>
        <v/>
      </c>
      <c r="W37" s="91" t="str">
        <f>'Gruppe D'!Q10</f>
        <v/>
      </c>
      <c r="X37" s="89" t="s">
        <v>69</v>
      </c>
      <c r="Y37" s="93" t="str">
        <f>'Gruppe D'!S10</f>
        <v/>
      </c>
      <c r="Z37" s="326"/>
      <c r="AA37" s="326"/>
      <c r="AB37" s="327"/>
    </row>
    <row r="38" spans="1:28" s="17" customFormat="1" ht="16" thickBot="1" x14ac:dyDescent="0.25">
      <c r="A38" s="271" t="s">
        <v>51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3"/>
    </row>
    <row r="39" spans="1:28" s="17" customFormat="1" x14ac:dyDescent="0.2">
      <c r="A39" s="28" t="s">
        <v>94</v>
      </c>
      <c r="B39" s="31" t="s">
        <v>32</v>
      </c>
      <c r="C39" s="267" t="str">
        <f>IF(SUM(E30:E32)&lt;5,"3.A",C32)</f>
        <v>3.A</v>
      </c>
      <c r="D39" s="268"/>
      <c r="E39" s="267" t="str">
        <f>IF(SUM(Q30:Q32)&lt;5,"3.B",P32)</f>
        <v>3.B</v>
      </c>
      <c r="F39" s="301"/>
      <c r="G39" s="301"/>
      <c r="H39" s="301"/>
      <c r="I39" s="301"/>
      <c r="J39" s="301"/>
      <c r="K39" s="301"/>
      <c r="L39" s="301"/>
      <c r="M39" s="301"/>
      <c r="N39" s="268"/>
      <c r="O39" s="24">
        <v>1</v>
      </c>
      <c r="P39" s="21" t="s">
        <v>77</v>
      </c>
      <c r="Q39" s="76">
        <f>IF(T39="",0,IF(T39&gt;V39,1,0)+IF(W39&gt;Y39,1,0)+IF(Z39&gt;AB39,1,0))</f>
        <v>0</v>
      </c>
      <c r="R39" s="60" t="s">
        <v>69</v>
      </c>
      <c r="S39" s="126">
        <f>IF(T39="",0,IF(T39&lt;V39,1,0)+IF(W39&lt;Y39,1,0)+IF(Z39&lt;AB39,1,0))</f>
        <v>0</v>
      </c>
      <c r="T39" s="70"/>
      <c r="U39" s="73" t="s">
        <v>69</v>
      </c>
      <c r="V39" s="72"/>
      <c r="W39" s="70"/>
      <c r="X39" s="73" t="s">
        <v>69</v>
      </c>
      <c r="Y39" s="72"/>
      <c r="Z39" s="70"/>
      <c r="AA39" s="73" t="s">
        <v>69</v>
      </c>
      <c r="AB39" s="65"/>
    </row>
    <row r="40" spans="1:28" s="17" customFormat="1" ht="16" thickBot="1" x14ac:dyDescent="0.25">
      <c r="A40" s="77" t="s">
        <v>94</v>
      </c>
      <c r="B40" s="36" t="s">
        <v>33</v>
      </c>
      <c r="C40" s="274" t="str">
        <f>IF(SUM(E35:E37)&lt;5,"3.C",C37)</f>
        <v>3.C</v>
      </c>
      <c r="D40" s="275"/>
      <c r="E40" s="274" t="str">
        <f>IF(SUM(Q35:Q37)&lt;5,"3.D",P37)</f>
        <v>3.D</v>
      </c>
      <c r="F40" s="303"/>
      <c r="G40" s="303"/>
      <c r="H40" s="303"/>
      <c r="I40" s="303"/>
      <c r="J40" s="303"/>
      <c r="K40" s="303"/>
      <c r="L40" s="303"/>
      <c r="M40" s="303"/>
      <c r="N40" s="275"/>
      <c r="O40" s="37">
        <v>3</v>
      </c>
      <c r="P40" s="78" t="s">
        <v>77</v>
      </c>
      <c r="Q40" s="202">
        <f>IF(T40="",0,IF(T40&gt;V40,1,0)+IF(W40&gt;Y40,1,0)+IF(Z40&gt;AB40,1,0))</f>
        <v>0</v>
      </c>
      <c r="R40" s="203" t="s">
        <v>69</v>
      </c>
      <c r="S40" s="204">
        <f>IF(T40="",0,IF(T40&lt;V40,1,0)+IF(W40&lt;Y40,1,0)+IF(Z40&lt;AB40,1,0))</f>
        <v>0</v>
      </c>
      <c r="T40" s="81"/>
      <c r="U40" s="129" t="s">
        <v>69</v>
      </c>
      <c r="V40" s="83"/>
      <c r="W40" s="81"/>
      <c r="X40" s="129" t="s">
        <v>69</v>
      </c>
      <c r="Y40" s="83"/>
      <c r="Z40" s="81"/>
      <c r="AA40" s="129" t="s">
        <v>69</v>
      </c>
      <c r="AB40" s="128"/>
    </row>
    <row r="41" spans="1:28" s="17" customFormat="1" x14ac:dyDescent="0.2">
      <c r="A41" s="27" t="s">
        <v>95</v>
      </c>
      <c r="B41" s="30" t="s">
        <v>34</v>
      </c>
      <c r="C41" s="254" t="str">
        <f>IF(SUM(E35:E37)&lt;5,"1.C",C35)</f>
        <v>1.C</v>
      </c>
      <c r="D41" s="255"/>
      <c r="E41" s="254" t="str">
        <f>Losen!B4</f>
        <v>Los C</v>
      </c>
      <c r="F41" s="302"/>
      <c r="G41" s="302"/>
      <c r="H41" s="302"/>
      <c r="I41" s="302"/>
      <c r="J41" s="302"/>
      <c r="K41" s="302"/>
      <c r="L41" s="302"/>
      <c r="M41" s="302"/>
      <c r="N41" s="255"/>
      <c r="O41" s="23">
        <v>1</v>
      </c>
      <c r="P41" s="38" t="str">
        <f>IF(SUM(E30:E32)&lt;5,"3.A",C32)</f>
        <v>3.A</v>
      </c>
      <c r="Q41" s="75">
        <f>IF(T41="",0,IF(T41&gt;V41,1,0)+IF(W41&gt;Y41,1,0)+IF(Z41&gt;AB41,1,0))</f>
        <v>0</v>
      </c>
      <c r="R41" s="59" t="s">
        <v>69</v>
      </c>
      <c r="S41" s="79">
        <f>IF(T41="",0,IF(T41&lt;V41,1,0)+IF(W41&lt;Y41,1,0)+IF(Z41&lt;AB41,1,0))</f>
        <v>0</v>
      </c>
      <c r="T41" s="69"/>
      <c r="U41" s="66" t="s">
        <v>69</v>
      </c>
      <c r="V41" s="61"/>
      <c r="W41" s="69"/>
      <c r="X41" s="66" t="s">
        <v>69</v>
      </c>
      <c r="Y41" s="61"/>
      <c r="Z41" s="69"/>
      <c r="AA41" s="66" t="s">
        <v>69</v>
      </c>
      <c r="AB41" s="64"/>
    </row>
    <row r="42" spans="1:28" x14ac:dyDescent="0.2">
      <c r="A42" s="28" t="s">
        <v>95</v>
      </c>
      <c r="B42" s="31" t="s">
        <v>35</v>
      </c>
      <c r="C42" s="267" t="str">
        <f>IF(SUM(Q35:Q37)&lt;5,"1.D",P35)</f>
        <v>1.D</v>
      </c>
      <c r="D42" s="268"/>
      <c r="E42" s="267" t="str">
        <f>Losen!D4</f>
        <v>Los D</v>
      </c>
      <c r="F42" s="301"/>
      <c r="G42" s="301"/>
      <c r="H42" s="301"/>
      <c r="I42" s="301"/>
      <c r="J42" s="301"/>
      <c r="K42" s="301"/>
      <c r="L42" s="301"/>
      <c r="M42" s="301"/>
      <c r="N42" s="268"/>
      <c r="O42" s="24">
        <v>2</v>
      </c>
      <c r="P42" s="21" t="str">
        <f>IF(SUM(Q30:Q32)&lt;5,"3.B",P32)</f>
        <v>3.B</v>
      </c>
      <c r="Q42" s="76">
        <f>IF(T42="",0,IF(T42&gt;V42,1,0)+IF(W42&gt;Y42,1,0)+IF(Z42&gt;AB42,1,0))</f>
        <v>0</v>
      </c>
      <c r="R42" s="60" t="s">
        <v>69</v>
      </c>
      <c r="S42" s="126">
        <f>IF(T42="",0,IF(T42&lt;V42,1,0)+IF(W42&lt;Y42,1,0)+IF(Z42&lt;AB42,1,0))</f>
        <v>0</v>
      </c>
      <c r="T42" s="68"/>
      <c r="U42" s="74" t="s">
        <v>69</v>
      </c>
      <c r="V42" s="71"/>
      <c r="W42" s="68"/>
      <c r="X42" s="74" t="s">
        <v>69</v>
      </c>
      <c r="Y42" s="71"/>
      <c r="Z42" s="68"/>
      <c r="AA42" s="74" t="s">
        <v>69</v>
      </c>
      <c r="AB42" s="63"/>
    </row>
    <row r="43" spans="1:28" x14ac:dyDescent="0.2">
      <c r="A43" s="28" t="s">
        <v>95</v>
      </c>
      <c r="B43" s="31" t="s">
        <v>36</v>
      </c>
      <c r="C43" s="267" t="str">
        <f>IF(SUM(E30:E32)&lt;5,"1.A",C30)</f>
        <v>1.A</v>
      </c>
      <c r="D43" s="268"/>
      <c r="E43" s="267" t="str">
        <f>Losen!F4</f>
        <v>Los A</v>
      </c>
      <c r="F43" s="301"/>
      <c r="G43" s="301"/>
      <c r="H43" s="301"/>
      <c r="I43" s="301"/>
      <c r="J43" s="301"/>
      <c r="K43" s="301"/>
      <c r="L43" s="301"/>
      <c r="M43" s="301"/>
      <c r="N43" s="268"/>
      <c r="O43" s="24">
        <v>3</v>
      </c>
      <c r="P43" s="21" t="str">
        <f>IF(SUM(E35:E37)&lt;5,"3.C",C37)</f>
        <v>3.C</v>
      </c>
      <c r="Q43" s="76">
        <f>IF(T43="",0,IF(T43&gt;V43,1,0)+IF(W43&gt;Y43,1,0)+IF(Z43&gt;AB43,1,0))</f>
        <v>0</v>
      </c>
      <c r="R43" s="60" t="s">
        <v>69</v>
      </c>
      <c r="S43" s="126">
        <f>IF(T43="",0,IF(T43&lt;V43,1,0)+IF(W43&lt;Y43,1,0)+IF(Z43&lt;AB43,1,0))</f>
        <v>0</v>
      </c>
      <c r="T43" s="68"/>
      <c r="U43" s="74" t="s">
        <v>69</v>
      </c>
      <c r="V43" s="71"/>
      <c r="W43" s="68"/>
      <c r="X43" s="74" t="s">
        <v>69</v>
      </c>
      <c r="Y43" s="71"/>
      <c r="Z43" s="68"/>
      <c r="AA43" s="74" t="s">
        <v>69</v>
      </c>
      <c r="AB43" s="63"/>
    </row>
    <row r="44" spans="1:28" ht="16" thickBot="1" x14ac:dyDescent="0.25">
      <c r="A44" s="29" t="s">
        <v>95</v>
      </c>
      <c r="B44" s="32" t="s">
        <v>37</v>
      </c>
      <c r="C44" s="265" t="str">
        <f>IF(SUM(Q30:Q32)&lt;5,"1.B",P30)</f>
        <v>1.B</v>
      </c>
      <c r="D44" s="266"/>
      <c r="E44" s="265" t="str">
        <f>Losen!H4</f>
        <v>Los B</v>
      </c>
      <c r="F44" s="333"/>
      <c r="G44" s="333"/>
      <c r="H44" s="333"/>
      <c r="I44" s="333"/>
      <c r="J44" s="333"/>
      <c r="K44" s="333"/>
      <c r="L44" s="333"/>
      <c r="M44" s="333"/>
      <c r="N44" s="266"/>
      <c r="O44" s="25">
        <v>4</v>
      </c>
      <c r="P44" s="39" t="str">
        <f>IF(SUM(Q35:Q37)&lt;5,"3.D",P37)</f>
        <v>3.D</v>
      </c>
      <c r="Q44" s="196">
        <f t="shared" ref="Q44" si="2">IF(T44="",0,IF(T44&gt;V44,1,0)+IF(W44&gt;Y44,1,0)+IF(Z44&gt;AB44,1,0))</f>
        <v>0</v>
      </c>
      <c r="R44" s="197" t="s">
        <v>69</v>
      </c>
      <c r="S44" s="205">
        <f t="shared" ref="S44" si="3">IF(T44="",0,IF(T44&lt;V44,1,0)+IF(W44&lt;Y44,1,0)+IF(Z44&lt;AB44,1,0))</f>
        <v>0</v>
      </c>
      <c r="T44" s="200"/>
      <c r="U44" s="199" t="s">
        <v>69</v>
      </c>
      <c r="V44" s="198"/>
      <c r="W44" s="200"/>
      <c r="X44" s="199" t="s">
        <v>69</v>
      </c>
      <c r="Y44" s="198"/>
      <c r="Z44" s="200"/>
      <c r="AA44" s="199" t="s">
        <v>69</v>
      </c>
      <c r="AB44" s="201"/>
    </row>
    <row r="45" spans="1:28" ht="16" thickBot="1" x14ac:dyDescent="0.25">
      <c r="A45" s="271" t="s">
        <v>52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3"/>
    </row>
    <row r="46" spans="1:28" x14ac:dyDescent="0.2">
      <c r="A46" s="27" t="s">
        <v>96</v>
      </c>
      <c r="B46" s="30" t="s">
        <v>41</v>
      </c>
      <c r="C46" s="254" t="str">
        <f>IF(Q41&lt;S41,C41,IF(S41&lt;Q41,E41,"VZ3"))</f>
        <v>VZ3</v>
      </c>
      <c r="D46" s="255"/>
      <c r="E46" s="254" t="str">
        <f>IF(Q44&lt;S44,C44,IF(S44&lt;Q44,E44,"VZ6"))</f>
        <v>VZ6</v>
      </c>
      <c r="F46" s="302"/>
      <c r="G46" s="302"/>
      <c r="H46" s="302"/>
      <c r="I46" s="302"/>
      <c r="J46" s="302"/>
      <c r="K46" s="302"/>
      <c r="L46" s="302"/>
      <c r="M46" s="302"/>
      <c r="N46" s="255"/>
      <c r="O46" s="23">
        <v>1</v>
      </c>
      <c r="P46" s="38" t="str">
        <f>IF(Q41&gt;S41,C41,IF(S41&gt;Q41,E41,"SZ3"))</f>
        <v>SZ3</v>
      </c>
      <c r="Q46" s="75">
        <f>IF(T46="",0,IF(T46&gt;V46,1,0)+IF(W46&gt;Y46,1,0)+IF(Z46&gt;AB46,1,0))</f>
        <v>0</v>
      </c>
      <c r="R46" s="59" t="s">
        <v>69</v>
      </c>
      <c r="S46" s="79">
        <f>IF(T46="",0,IF(T46&lt;V46,1,0)+IF(W46&lt;Y46,1,0)+IF(Z46&lt;AB46,1,0))</f>
        <v>0</v>
      </c>
      <c r="T46" s="69"/>
      <c r="U46" s="66" t="s">
        <v>69</v>
      </c>
      <c r="V46" s="61"/>
      <c r="W46" s="69"/>
      <c r="X46" s="66" t="s">
        <v>69</v>
      </c>
      <c r="Y46" s="61"/>
      <c r="Z46" s="69"/>
      <c r="AA46" s="66" t="s">
        <v>69</v>
      </c>
      <c r="AB46" s="64"/>
    </row>
    <row r="47" spans="1:28" x14ac:dyDescent="0.2">
      <c r="A47" s="28" t="s">
        <v>96</v>
      </c>
      <c r="B47" s="31" t="s">
        <v>42</v>
      </c>
      <c r="C47" s="267" t="str">
        <f>IF(SUM(E30:E32)&lt;5,"3.A",C32)</f>
        <v>3.A</v>
      </c>
      <c r="D47" s="268"/>
      <c r="E47" s="267" t="str">
        <f>IF(SUM(E35:E37)&lt;5,"3.C",C37)</f>
        <v>3.C</v>
      </c>
      <c r="F47" s="301"/>
      <c r="G47" s="301"/>
      <c r="H47" s="301"/>
      <c r="I47" s="301"/>
      <c r="J47" s="301"/>
      <c r="K47" s="301"/>
      <c r="L47" s="301"/>
      <c r="M47" s="301"/>
      <c r="N47" s="268"/>
      <c r="O47" s="24">
        <v>2</v>
      </c>
      <c r="P47" s="21" t="str">
        <f>IF(Q42&gt;S42,C42,IF(S42&gt;Q42,E42,"SZ4"))</f>
        <v>SZ4</v>
      </c>
      <c r="Q47" s="76">
        <f>IF(T47="",0,IF(T47&gt;V47,1,0)+IF(W47&gt;Y47,1,0)+IF(Z47&gt;AB47,1,0))</f>
        <v>0</v>
      </c>
      <c r="R47" s="60" t="s">
        <v>69</v>
      </c>
      <c r="S47" s="126">
        <f>IF(T47="",0,IF(T47&lt;V47,1,0)+IF(W47&lt;Y47,1,0)+IF(Z47&lt;AB47,1,0))</f>
        <v>0</v>
      </c>
      <c r="T47" s="68"/>
      <c r="U47" s="74" t="s">
        <v>69</v>
      </c>
      <c r="V47" s="71"/>
      <c r="W47" s="68"/>
      <c r="X47" s="74" t="s">
        <v>69</v>
      </c>
      <c r="Y47" s="71"/>
      <c r="Z47" s="68"/>
      <c r="AA47" s="74" t="s">
        <v>69</v>
      </c>
      <c r="AB47" s="63"/>
    </row>
    <row r="48" spans="1:28" x14ac:dyDescent="0.2">
      <c r="A48" s="28" t="s">
        <v>96</v>
      </c>
      <c r="B48" s="31" t="s">
        <v>43</v>
      </c>
      <c r="C48" s="267" t="str">
        <f>IF(SUM(Q30:Q32)&lt;5,"3.B",P32)</f>
        <v>3.B</v>
      </c>
      <c r="D48" s="268"/>
      <c r="E48" s="267" t="str">
        <f>IF(SUM(Q35:Q37)&lt;5,"3.D",P37)</f>
        <v>3.D</v>
      </c>
      <c r="F48" s="301"/>
      <c r="G48" s="301"/>
      <c r="H48" s="301"/>
      <c r="I48" s="301"/>
      <c r="J48" s="301"/>
      <c r="K48" s="301"/>
      <c r="L48" s="301"/>
      <c r="M48" s="301"/>
      <c r="N48" s="268"/>
      <c r="O48" s="24">
        <v>3</v>
      </c>
      <c r="P48" s="21" t="str">
        <f>IF(Q43&gt;S43,C43,IF(S43&gt;Q43,E43,"SZ5"))</f>
        <v>SZ5</v>
      </c>
      <c r="Q48" s="76">
        <f>IF(T48="",0,IF(T48&gt;V48,1,0)+IF(W48&gt;Y48,1,0)+IF(Z48&gt;AB48,1,0))</f>
        <v>0</v>
      </c>
      <c r="R48" s="60" t="s">
        <v>69</v>
      </c>
      <c r="S48" s="126">
        <f>IF(T48="",0,IF(T48&lt;V48,1,0)+IF(W48&lt;Y48,1,0)+IF(Z48&lt;AB48,1,0))</f>
        <v>0</v>
      </c>
      <c r="T48" s="68"/>
      <c r="U48" s="74" t="s">
        <v>69</v>
      </c>
      <c r="V48" s="71"/>
      <c r="W48" s="68"/>
      <c r="X48" s="74" t="s">
        <v>69</v>
      </c>
      <c r="Y48" s="71"/>
      <c r="Z48" s="68"/>
      <c r="AA48" s="74" t="s">
        <v>69</v>
      </c>
      <c r="AB48" s="63"/>
    </row>
    <row r="49" spans="1:28" ht="16" thickBot="1" x14ac:dyDescent="0.25">
      <c r="A49" s="29" t="s">
        <v>96</v>
      </c>
      <c r="B49" s="32" t="s">
        <v>44</v>
      </c>
      <c r="C49" s="265" t="str">
        <f>IF(Q42&lt;S42,C42,IF(S42&lt;Q42,E42,"VZ4"))</f>
        <v>VZ4</v>
      </c>
      <c r="D49" s="266"/>
      <c r="E49" s="265" t="str">
        <f>IF(Q43&lt;S43,C43,IF(S43&lt;Q43,E43,"VZ5"))</f>
        <v>VZ5</v>
      </c>
      <c r="F49" s="333"/>
      <c r="G49" s="333"/>
      <c r="H49" s="333"/>
      <c r="I49" s="333"/>
      <c r="J49" s="333"/>
      <c r="K49" s="333"/>
      <c r="L49" s="333"/>
      <c r="M49" s="333"/>
      <c r="N49" s="266"/>
      <c r="O49" s="25">
        <v>4</v>
      </c>
      <c r="P49" s="39" t="str">
        <f>IF(Q44&gt;S44,C44,IF(S44&gt;Q44,E44,"SZ6"))</f>
        <v>SZ6</v>
      </c>
      <c r="Q49" s="196">
        <f>IF(T49="",0,IF(T49&gt;V49,1,0)+IF(W49&gt;Y49,1,0)+IF(Z49&gt;AB49,1,0))</f>
        <v>0</v>
      </c>
      <c r="R49" s="197" t="s">
        <v>69</v>
      </c>
      <c r="S49" s="205">
        <f>IF(T49="",0,IF(T49&lt;V49,1,0)+IF(W49&lt;Y49,1,0)+IF(Z49&lt;AB49,1,0))</f>
        <v>0</v>
      </c>
      <c r="T49" s="200"/>
      <c r="U49" s="199" t="s">
        <v>69</v>
      </c>
      <c r="V49" s="198"/>
      <c r="W49" s="200"/>
      <c r="X49" s="199" t="s">
        <v>69</v>
      </c>
      <c r="Y49" s="198"/>
      <c r="Z49" s="200"/>
      <c r="AA49" s="199" t="s">
        <v>69</v>
      </c>
      <c r="AB49" s="201"/>
    </row>
    <row r="50" spans="1:28" x14ac:dyDescent="0.2">
      <c r="A50" s="27" t="s">
        <v>97</v>
      </c>
      <c r="B50" s="30" t="s">
        <v>45</v>
      </c>
      <c r="C50" s="254" t="str">
        <f>IF(Q41&gt;S41,C41,IF(S41&gt;Q41,E41,"SZ3"))</f>
        <v>SZ3</v>
      </c>
      <c r="D50" s="255"/>
      <c r="E50" s="254" t="str">
        <f>IF(Q44&gt;S44,C44,IF(S44&gt;Q44,E44,"SZ6"))</f>
        <v>SZ6</v>
      </c>
      <c r="F50" s="302"/>
      <c r="G50" s="302"/>
      <c r="H50" s="302"/>
      <c r="I50" s="302"/>
      <c r="J50" s="302"/>
      <c r="K50" s="302"/>
      <c r="L50" s="302"/>
      <c r="M50" s="302"/>
      <c r="N50" s="255"/>
      <c r="O50" s="23">
        <v>1</v>
      </c>
      <c r="P50" s="38" t="str">
        <f>IF(Q46&gt;S46,C46,IF(S46&gt;Q46,E46,"SE1"))</f>
        <v>SE1</v>
      </c>
      <c r="Q50" s="75">
        <f>IF(T50="",0,IF(T50&gt;V50,1,0)+IF(W50&gt;Y50,1,0)+IF(Z50&gt;AB50,1,0))</f>
        <v>0</v>
      </c>
      <c r="R50" s="59" t="s">
        <v>69</v>
      </c>
      <c r="S50" s="79">
        <f>IF(T50="",0,IF(T50&lt;V50,1,0)+IF(W50&lt;Y50,1,0)+IF(Z50&lt;AB50,1,0))</f>
        <v>0</v>
      </c>
      <c r="T50" s="69"/>
      <c r="U50" s="66" t="s">
        <v>69</v>
      </c>
      <c r="V50" s="61"/>
      <c r="W50" s="69"/>
      <c r="X50" s="66" t="s">
        <v>69</v>
      </c>
      <c r="Y50" s="61"/>
      <c r="Z50" s="69"/>
      <c r="AA50" s="66" t="s">
        <v>69</v>
      </c>
      <c r="AB50" s="64"/>
    </row>
    <row r="51" spans="1:28" x14ac:dyDescent="0.2">
      <c r="A51" s="28" t="s">
        <v>97</v>
      </c>
      <c r="B51" s="31" t="s">
        <v>46</v>
      </c>
      <c r="C51" s="267" t="str">
        <f>IF(SUM(E30:E32)&lt;5,"3.A",C32)</f>
        <v>3.A</v>
      </c>
      <c r="D51" s="268"/>
      <c r="E51" s="267" t="str">
        <f>IF(SUM(Q35:Q37)&lt;5,"3.D",P37)</f>
        <v>3.D</v>
      </c>
      <c r="F51" s="301"/>
      <c r="G51" s="301"/>
      <c r="H51" s="301"/>
      <c r="I51" s="301"/>
      <c r="J51" s="301"/>
      <c r="K51" s="301"/>
      <c r="L51" s="301"/>
      <c r="M51" s="301"/>
      <c r="N51" s="268"/>
      <c r="O51" s="24">
        <v>2</v>
      </c>
      <c r="P51" s="21" t="str">
        <f>IF(Q46&lt;S46,C46,IF(S46&lt;Q46,E46,"VE1"))</f>
        <v>VE1</v>
      </c>
      <c r="Q51" s="76">
        <f t="shared" ref="Q51:Q57" si="4">IF(T51="",0,IF(T51&gt;V51,1,0)+IF(W51&gt;Y51,1,0)+IF(Z51&gt;AB51,1,0))</f>
        <v>0</v>
      </c>
      <c r="R51" s="60" t="s">
        <v>69</v>
      </c>
      <c r="S51" s="126">
        <f t="shared" ref="S51:S57" si="5">IF(T51="",0,IF(T51&lt;V51,1,0)+IF(W51&lt;Y51,1,0)+IF(Z51&lt;AB51,1,0))</f>
        <v>0</v>
      </c>
      <c r="T51" s="68"/>
      <c r="U51" s="74" t="s">
        <v>69</v>
      </c>
      <c r="V51" s="71"/>
      <c r="W51" s="68"/>
      <c r="X51" s="74" t="s">
        <v>69</v>
      </c>
      <c r="Y51" s="71"/>
      <c r="Z51" s="68"/>
      <c r="AA51" s="74" t="s">
        <v>69</v>
      </c>
      <c r="AB51" s="63"/>
    </row>
    <row r="52" spans="1:28" x14ac:dyDescent="0.2">
      <c r="A52" s="28" t="s">
        <v>97</v>
      </c>
      <c r="B52" s="31" t="s">
        <v>47</v>
      </c>
      <c r="C52" s="267" t="str">
        <f>IF(SUM(Q30:Q32)&lt;5,"3.B",P32)</f>
        <v>3.B</v>
      </c>
      <c r="D52" s="268"/>
      <c r="E52" s="267" t="str">
        <f>IF(SUM(E35:E37)&lt;5,"3.C",C37)</f>
        <v>3.C</v>
      </c>
      <c r="F52" s="301"/>
      <c r="G52" s="301"/>
      <c r="H52" s="301"/>
      <c r="I52" s="301"/>
      <c r="J52" s="301"/>
      <c r="K52" s="301"/>
      <c r="L52" s="301"/>
      <c r="M52" s="301"/>
      <c r="N52" s="268"/>
      <c r="O52" s="24">
        <v>3</v>
      </c>
      <c r="P52" s="21" t="str">
        <f>IF(Q49&lt;S49,C49,IF(S49&lt;Q49,E49,"VE4"))</f>
        <v>VE4</v>
      </c>
      <c r="Q52" s="76">
        <f>IF(T52="",0,IF(T52&gt;V52,1,0)+IF(W52&gt;Y52,1,0)+IF(Z52&gt;AB52,1,0))</f>
        <v>0</v>
      </c>
      <c r="R52" s="60" t="s">
        <v>69</v>
      </c>
      <c r="S52" s="126">
        <f>IF(T52="",0,IF(T52&lt;V52,1,0)+IF(W52&lt;Y52,1,0)+IF(Z52&lt;AB52,1,0))</f>
        <v>0</v>
      </c>
      <c r="T52" s="68"/>
      <c r="U52" s="74" t="s">
        <v>69</v>
      </c>
      <c r="V52" s="71"/>
      <c r="W52" s="68"/>
      <c r="X52" s="74" t="s">
        <v>69</v>
      </c>
      <c r="Y52" s="71"/>
      <c r="Z52" s="68"/>
      <c r="AA52" s="74" t="s">
        <v>69</v>
      </c>
      <c r="AB52" s="63"/>
    </row>
    <row r="53" spans="1:28" ht="16" thickBot="1" x14ac:dyDescent="0.25">
      <c r="A53" s="29" t="s">
        <v>97</v>
      </c>
      <c r="B53" s="32" t="s">
        <v>48</v>
      </c>
      <c r="C53" s="265" t="str">
        <f>IF(Q42&gt;S42,C42,IF(S42&gt;Q42,E42,"SZ4"))</f>
        <v>SZ4</v>
      </c>
      <c r="D53" s="266"/>
      <c r="E53" s="265" t="str">
        <f>IF(Q43&gt;S43,C43,IF(S43&gt;Q43,E43,"SZ5"))</f>
        <v>SZ5</v>
      </c>
      <c r="F53" s="333"/>
      <c r="G53" s="333"/>
      <c r="H53" s="333"/>
      <c r="I53" s="333"/>
      <c r="J53" s="333"/>
      <c r="K53" s="333"/>
      <c r="L53" s="333"/>
      <c r="M53" s="333"/>
      <c r="N53" s="266"/>
      <c r="O53" s="25">
        <v>4</v>
      </c>
      <c r="P53" s="39" t="str">
        <f>IF(Q49&gt;S49,C49,IF(S49&gt;Q49,E49,"SE4"))</f>
        <v>SE4</v>
      </c>
      <c r="Q53" s="196">
        <f t="shared" si="4"/>
        <v>0</v>
      </c>
      <c r="R53" s="197" t="s">
        <v>69</v>
      </c>
      <c r="S53" s="205">
        <f t="shared" si="5"/>
        <v>0</v>
      </c>
      <c r="T53" s="200"/>
      <c r="U53" s="199" t="s">
        <v>69</v>
      </c>
      <c r="V53" s="198"/>
      <c r="W53" s="200"/>
      <c r="X53" s="199" t="s">
        <v>69</v>
      </c>
      <c r="Y53" s="198"/>
      <c r="Z53" s="200"/>
      <c r="AA53" s="199" t="s">
        <v>69</v>
      </c>
      <c r="AB53" s="201"/>
    </row>
    <row r="54" spans="1:28" x14ac:dyDescent="0.2">
      <c r="A54" s="27" t="s">
        <v>98</v>
      </c>
      <c r="B54" s="30" t="s">
        <v>49</v>
      </c>
      <c r="C54" s="254" t="str">
        <f>IF(Q50&lt;S50,C50,IF(S50&lt;Q50,E50,"VE5"))</f>
        <v>VE5</v>
      </c>
      <c r="D54" s="255"/>
      <c r="E54" s="254" t="str">
        <f>IF(Q53&lt;S53,C53,IF(S53&lt;Q53,E53,"VE8"))</f>
        <v>VE8</v>
      </c>
      <c r="F54" s="302"/>
      <c r="G54" s="302"/>
      <c r="H54" s="302"/>
      <c r="I54" s="302"/>
      <c r="J54" s="302"/>
      <c r="K54" s="302"/>
      <c r="L54" s="302"/>
      <c r="M54" s="302"/>
      <c r="N54" s="255"/>
      <c r="O54" s="23">
        <v>1</v>
      </c>
      <c r="P54" s="38" t="str">
        <f>IF(P63="",O63,P63)</f>
        <v>10.</v>
      </c>
      <c r="Q54" s="75">
        <f>IF(T54="",0,IF(T54&gt;V54,1,0)+IF(W54&gt;Y54,1,0)+IF(Z54&gt;AB54,1,0))</f>
        <v>0</v>
      </c>
      <c r="R54" s="59" t="s">
        <v>69</v>
      </c>
      <c r="S54" s="79">
        <f>IF(T54="",0,IF(T54&lt;V54,1,0)+IF(W54&lt;Y54,1,0)+IF(Z54&lt;AB54,1,0))</f>
        <v>0</v>
      </c>
      <c r="T54" s="69"/>
      <c r="U54" s="66" t="s">
        <v>69</v>
      </c>
      <c r="V54" s="61"/>
      <c r="W54" s="69"/>
      <c r="X54" s="66" t="s">
        <v>69</v>
      </c>
      <c r="Y54" s="61"/>
      <c r="Z54" s="69"/>
      <c r="AA54" s="66" t="s">
        <v>69</v>
      </c>
      <c r="AB54" s="64"/>
    </row>
    <row r="55" spans="1:28" x14ac:dyDescent="0.2">
      <c r="A55" s="28" t="s">
        <v>98</v>
      </c>
      <c r="B55" s="31" t="s">
        <v>38</v>
      </c>
      <c r="C55" s="267" t="str">
        <f>IF(Q46&gt;S46,C46,IF(S46&gt;Q46,E46,"SE1"))</f>
        <v>SE1</v>
      </c>
      <c r="D55" s="268"/>
      <c r="E55" s="267" t="str">
        <f>IF(Q49&gt;S49,C49,IF(S49&gt;Q49,E49,"SE4"))</f>
        <v>SE4</v>
      </c>
      <c r="F55" s="301"/>
      <c r="G55" s="301"/>
      <c r="H55" s="301"/>
      <c r="I55" s="301"/>
      <c r="J55" s="301"/>
      <c r="K55" s="301"/>
      <c r="L55" s="301"/>
      <c r="M55" s="301"/>
      <c r="N55" s="268"/>
      <c r="O55" s="24">
        <v>2</v>
      </c>
      <c r="P55" s="21" t="str">
        <f>IF(P64="",O64,P64)</f>
        <v>11.</v>
      </c>
      <c r="Q55" s="76">
        <f>IF(T55="",0,IF(T55&gt;V55,1,0)+IF(W55&gt;Y55,1,0)+IF(Z55&gt;AB55,1,0))</f>
        <v>0</v>
      </c>
      <c r="R55" s="60" t="s">
        <v>69</v>
      </c>
      <c r="S55" s="126">
        <f>IF(T55="",0,IF(T55&lt;V55,1,0)+IF(W55&lt;Y55,1,0)+IF(Z55&lt;AB55,1,0))</f>
        <v>0</v>
      </c>
      <c r="T55" s="68"/>
      <c r="U55" s="74" t="s">
        <v>69</v>
      </c>
      <c r="V55" s="71"/>
      <c r="W55" s="68"/>
      <c r="X55" s="74" t="s">
        <v>69</v>
      </c>
      <c r="Y55" s="71"/>
      <c r="Z55" s="68"/>
      <c r="AA55" s="74" t="s">
        <v>69</v>
      </c>
      <c r="AB55" s="63"/>
    </row>
    <row r="56" spans="1:28" ht="16" thickBot="1" x14ac:dyDescent="0.25">
      <c r="A56" s="77" t="s">
        <v>98</v>
      </c>
      <c r="B56" s="36" t="s">
        <v>79</v>
      </c>
      <c r="C56" s="274" t="str">
        <f>IF(Q46&lt;S46,C46,IF(S46&lt;Q46,E46,"VE1"))</f>
        <v>VE1</v>
      </c>
      <c r="D56" s="275"/>
      <c r="E56" s="274" t="str">
        <f>IF(Q49&lt;S49,C49,IF(S49&lt;Q49,E49,"VE4"))</f>
        <v>VE4</v>
      </c>
      <c r="F56" s="303"/>
      <c r="G56" s="303"/>
      <c r="H56" s="303"/>
      <c r="I56" s="303"/>
      <c r="J56" s="303"/>
      <c r="K56" s="303"/>
      <c r="L56" s="303"/>
      <c r="M56" s="303"/>
      <c r="N56" s="275"/>
      <c r="O56" s="37">
        <v>3</v>
      </c>
      <c r="P56" s="78" t="str">
        <f>IF(P65="",O65,P65)</f>
        <v>12.</v>
      </c>
      <c r="Q56" s="202">
        <f t="shared" si="4"/>
        <v>0</v>
      </c>
      <c r="R56" s="203" t="s">
        <v>69</v>
      </c>
      <c r="S56" s="204">
        <f t="shared" si="5"/>
        <v>0</v>
      </c>
      <c r="T56" s="206"/>
      <c r="U56" s="207" t="s">
        <v>69</v>
      </c>
      <c r="V56" s="208"/>
      <c r="W56" s="206"/>
      <c r="X56" s="207" t="s">
        <v>69</v>
      </c>
      <c r="Y56" s="208"/>
      <c r="Z56" s="206"/>
      <c r="AA56" s="207" t="s">
        <v>69</v>
      </c>
      <c r="AB56" s="209"/>
    </row>
    <row r="57" spans="1:28" ht="16" thickBot="1" x14ac:dyDescent="0.25">
      <c r="A57" s="33" t="s">
        <v>99</v>
      </c>
      <c r="B57" s="34" t="s">
        <v>80</v>
      </c>
      <c r="C57" s="256" t="str">
        <f>IF(Q50&gt;S50,C50,IF(S50&gt;Q50,E50,"SE5"))</f>
        <v>SE5</v>
      </c>
      <c r="D57" s="257"/>
      <c r="E57" s="256" t="str">
        <f>IF(Q53&gt;S53,C53,IF(S53&gt;Q53,E53,"SE8"))</f>
        <v>SE8</v>
      </c>
      <c r="F57" s="298"/>
      <c r="G57" s="298"/>
      <c r="H57" s="298"/>
      <c r="I57" s="298"/>
      <c r="J57" s="298"/>
      <c r="K57" s="298"/>
      <c r="L57" s="298"/>
      <c r="M57" s="298"/>
      <c r="N57" s="257"/>
      <c r="O57" s="35" t="s">
        <v>78</v>
      </c>
      <c r="P57" s="40" t="str">
        <f>IF(P62="",O62,P62)</f>
        <v>9.</v>
      </c>
      <c r="Q57" s="210">
        <f t="shared" si="4"/>
        <v>0</v>
      </c>
      <c r="R57" s="211" t="s">
        <v>69</v>
      </c>
      <c r="S57" s="212">
        <f t="shared" si="5"/>
        <v>0</v>
      </c>
      <c r="T57" s="82"/>
      <c r="U57" s="130" t="s">
        <v>69</v>
      </c>
      <c r="V57" s="84"/>
      <c r="W57" s="82"/>
      <c r="X57" s="130" t="s">
        <v>69</v>
      </c>
      <c r="Y57" s="84"/>
      <c r="Z57" s="82"/>
      <c r="AA57" s="130" t="s">
        <v>69</v>
      </c>
      <c r="AB57" s="80"/>
    </row>
    <row r="58" spans="1:28" ht="16" thickBot="1" x14ac:dyDescent="0.25">
      <c r="A58" s="258"/>
      <c r="B58" s="304"/>
      <c r="C58" s="304"/>
      <c r="D58" s="312" t="s">
        <v>81</v>
      </c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9"/>
    </row>
    <row r="59" spans="1:28" ht="17" thickBot="1" x14ac:dyDescent="0.25">
      <c r="A59" s="259"/>
      <c r="B59" s="305"/>
      <c r="C59" s="305"/>
      <c r="D59" s="336" t="s">
        <v>53</v>
      </c>
      <c r="E59" s="337"/>
      <c r="F59" s="337"/>
      <c r="G59" s="337"/>
      <c r="H59" s="337"/>
      <c r="I59" s="337"/>
      <c r="J59" s="337"/>
      <c r="K59" s="337"/>
      <c r="L59" s="337"/>
      <c r="M59" s="337"/>
      <c r="N59" s="338"/>
      <c r="O59" s="338"/>
      <c r="P59" s="339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10"/>
    </row>
    <row r="60" spans="1:28" x14ac:dyDescent="0.2">
      <c r="A60" s="259"/>
      <c r="B60" s="305"/>
      <c r="C60" s="305"/>
      <c r="D60" s="56" t="s">
        <v>54</v>
      </c>
      <c r="E60" s="299" t="str">
        <f>IF(Q57&gt;S57,C57,IF(S57&gt;Q57,E57,""))</f>
        <v/>
      </c>
      <c r="F60" s="299"/>
      <c r="G60" s="299"/>
      <c r="H60" s="299"/>
      <c r="I60" s="299"/>
      <c r="J60" s="299"/>
      <c r="K60" s="299"/>
      <c r="L60" s="299"/>
      <c r="M60" s="299"/>
      <c r="N60" s="300"/>
      <c r="O60" s="56" t="s">
        <v>60</v>
      </c>
      <c r="P60" s="57" t="str">
        <f>IF(Q56&gt;S56,C56,IF(S56&gt;Q56,E56,""))</f>
        <v/>
      </c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10"/>
    </row>
    <row r="61" spans="1:28" x14ac:dyDescent="0.2">
      <c r="A61" s="259"/>
      <c r="B61" s="305"/>
      <c r="C61" s="305"/>
      <c r="D61" s="51" t="s">
        <v>55</v>
      </c>
      <c r="E61" s="285" t="str">
        <f>IF(Q57&lt;S57,C57,IF(S57&lt;Q57,E57,""))</f>
        <v/>
      </c>
      <c r="F61" s="285"/>
      <c r="G61" s="285"/>
      <c r="H61" s="285"/>
      <c r="I61" s="285"/>
      <c r="J61" s="285"/>
      <c r="K61" s="285"/>
      <c r="L61" s="285"/>
      <c r="M61" s="285"/>
      <c r="N61" s="286"/>
      <c r="O61" s="51" t="s">
        <v>61</v>
      </c>
      <c r="P61" s="49" t="str">
        <f>IF(Q56&lt;S56,C56,IF(S56&lt;Q56,E56,""))</f>
        <v/>
      </c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10"/>
    </row>
    <row r="62" spans="1:28" x14ac:dyDescent="0.2">
      <c r="A62" s="259"/>
      <c r="B62" s="305"/>
      <c r="C62" s="305"/>
      <c r="D62" s="51" t="s">
        <v>56</v>
      </c>
      <c r="E62" s="285" t="str">
        <f>IF(Q54&gt;S54,C54,IF(S54&gt;Q54,E54,""))</f>
        <v/>
      </c>
      <c r="F62" s="285"/>
      <c r="G62" s="285"/>
      <c r="H62" s="285"/>
      <c r="I62" s="285"/>
      <c r="J62" s="285"/>
      <c r="K62" s="285"/>
      <c r="L62" s="285"/>
      <c r="M62" s="285"/>
      <c r="N62" s="286"/>
      <c r="O62" s="51" t="s">
        <v>62</v>
      </c>
      <c r="P62" s="49" t="str">
        <f>IF('Plätze 9-12'!B8="","",'Plätze 9-12'!B8)</f>
        <v/>
      </c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10"/>
    </row>
    <row r="63" spans="1:28" x14ac:dyDescent="0.2">
      <c r="A63" s="259"/>
      <c r="B63" s="305"/>
      <c r="C63" s="305"/>
      <c r="D63" s="51" t="s">
        <v>57</v>
      </c>
      <c r="E63" s="285" t="str">
        <f>IF(Q54&lt;S54,C54,IF(S54&lt;Q54,E54,""))</f>
        <v/>
      </c>
      <c r="F63" s="285"/>
      <c r="G63" s="285"/>
      <c r="H63" s="285"/>
      <c r="I63" s="285"/>
      <c r="J63" s="285"/>
      <c r="K63" s="285"/>
      <c r="L63" s="285"/>
      <c r="M63" s="285"/>
      <c r="N63" s="286"/>
      <c r="O63" s="51" t="s">
        <v>63</v>
      </c>
      <c r="P63" s="49" t="str">
        <f>IF('Plätze 9-12'!B9="","",'Plätze 9-12'!B9)</f>
        <v/>
      </c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10"/>
    </row>
    <row r="64" spans="1:28" x14ac:dyDescent="0.2">
      <c r="A64" s="259"/>
      <c r="B64" s="305"/>
      <c r="C64" s="305"/>
      <c r="D64" s="51" t="s">
        <v>58</v>
      </c>
      <c r="E64" s="285" t="str">
        <f>IF(Q55&gt;S55,C55,IF(S55&gt;Q55,E55,""))</f>
        <v/>
      </c>
      <c r="F64" s="285"/>
      <c r="G64" s="285"/>
      <c r="H64" s="285"/>
      <c r="I64" s="285"/>
      <c r="J64" s="285"/>
      <c r="K64" s="285"/>
      <c r="L64" s="285"/>
      <c r="M64" s="285"/>
      <c r="N64" s="286"/>
      <c r="O64" s="51" t="s">
        <v>64</v>
      </c>
      <c r="P64" s="49" t="str">
        <f>IF('Plätze 9-12'!B10="","",'Plätze 9-12'!B10)</f>
        <v/>
      </c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10"/>
    </row>
    <row r="65" spans="1:28" ht="16" thickBot="1" x14ac:dyDescent="0.25">
      <c r="A65" s="260"/>
      <c r="B65" s="306"/>
      <c r="C65" s="306"/>
      <c r="D65" s="53" t="s">
        <v>59</v>
      </c>
      <c r="E65" s="287" t="str">
        <f>IF(Q55&lt;S55,C55,IF(S55&lt;Q55,E55,""))</f>
        <v/>
      </c>
      <c r="F65" s="287"/>
      <c r="G65" s="287"/>
      <c r="H65" s="287"/>
      <c r="I65" s="287"/>
      <c r="J65" s="287"/>
      <c r="K65" s="287"/>
      <c r="L65" s="287"/>
      <c r="M65" s="287"/>
      <c r="N65" s="288"/>
      <c r="O65" s="53" t="s">
        <v>65</v>
      </c>
      <c r="P65" s="50" t="str">
        <f>IF('Plätze 9-12'!B11="","",'Plätze 9-12'!B11)</f>
        <v/>
      </c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11"/>
    </row>
    <row r="66" spans="1:28" x14ac:dyDescent="0.2">
      <c r="N66" s="52"/>
      <c r="O66" s="55"/>
      <c r="P66" s="54"/>
    </row>
    <row r="67" spans="1:28" x14ac:dyDescent="0.2">
      <c r="N67" s="52"/>
      <c r="O67" s="55"/>
      <c r="P67" s="54"/>
    </row>
    <row r="68" spans="1:28" x14ac:dyDescent="0.2">
      <c r="N68" s="52"/>
      <c r="O68" s="55"/>
      <c r="P68" s="54"/>
    </row>
    <row r="69" spans="1:28" x14ac:dyDescent="0.2">
      <c r="N69" s="52"/>
      <c r="O69" s="55"/>
      <c r="P69" s="54"/>
    </row>
    <row r="70" spans="1:28" x14ac:dyDescent="0.2">
      <c r="N70" s="52"/>
      <c r="O70" s="55"/>
      <c r="P70" s="54"/>
    </row>
    <row r="71" spans="1:28" x14ac:dyDescent="0.2">
      <c r="N71" s="52"/>
      <c r="O71" s="55"/>
      <c r="P71" s="54"/>
    </row>
    <row r="72" spans="1:28" x14ac:dyDescent="0.2">
      <c r="N72" s="54"/>
      <c r="O72" s="54"/>
    </row>
  </sheetData>
  <sheetProtection selectLockedCells="1"/>
  <protectedRanges>
    <protectedRange sqref="C4:D6 P4:P6 C9:D11 P9:P11 S16:T27 Q16:Q27 AB16:AB27 Y16:Z27 V16:W27 S39:T44 Q39:Q44 AB39:AB44 Y39:Z44 V39:W44 S57:T57 Q57 AB57 Y57:Z57 V57:W57 V46:W56 Y46:Z56 AB46:AB56 Q46:Q56 S46:T56" name="Bereich1"/>
  </protectedRanges>
  <customSheetViews>
    <customSheetView guid="{E283EB08-68AF-4ED4-8677-B7D8E39E2424}" showPageBreaks="1" fitToPage="1">
      <selection sqref="A1:AB1"/>
      <pageMargins left="0.7" right="0.7" top="0.78740157499999996" bottom="0.78740157499999996" header="0.3" footer="0.3"/>
      <pageSetup paperSize="9" scale="65" orientation="portrait"/>
    </customSheetView>
  </customSheetViews>
  <mergeCells count="130">
    <mergeCell ref="C8:D8"/>
    <mergeCell ref="C9:D9"/>
    <mergeCell ref="E22:N22"/>
    <mergeCell ref="E20:N20"/>
    <mergeCell ref="E23:N23"/>
    <mergeCell ref="E26:N26"/>
    <mergeCell ref="E25:N25"/>
    <mergeCell ref="E43:N43"/>
    <mergeCell ref="E39:N39"/>
    <mergeCell ref="E42:N42"/>
    <mergeCell ref="E24:N24"/>
    <mergeCell ref="E27:N27"/>
    <mergeCell ref="E30:G30"/>
    <mergeCell ref="E31:G31"/>
    <mergeCell ref="E32:G32"/>
    <mergeCell ref="E21:N21"/>
    <mergeCell ref="D59:P59"/>
    <mergeCell ref="A1:AB1"/>
    <mergeCell ref="A2:AB2"/>
    <mergeCell ref="Q3:AB11"/>
    <mergeCell ref="A12:AB12"/>
    <mergeCell ref="Q13:AB13"/>
    <mergeCell ref="E16:N16"/>
    <mergeCell ref="E17:N17"/>
    <mergeCell ref="E18:N18"/>
    <mergeCell ref="E19:N19"/>
    <mergeCell ref="C17:D17"/>
    <mergeCell ref="C18:D18"/>
    <mergeCell ref="C19:D19"/>
    <mergeCell ref="A14:AB14"/>
    <mergeCell ref="A15:AB15"/>
    <mergeCell ref="E3:N11"/>
    <mergeCell ref="A3:A11"/>
    <mergeCell ref="O7:P7"/>
    <mergeCell ref="B7:D7"/>
    <mergeCell ref="C3:D3"/>
    <mergeCell ref="C4:D4"/>
    <mergeCell ref="C5:D5"/>
    <mergeCell ref="C6:D6"/>
    <mergeCell ref="Z29:AB37"/>
    <mergeCell ref="B33:Y33"/>
    <mergeCell ref="N34:N37"/>
    <mergeCell ref="N29:N32"/>
    <mergeCell ref="E48:N48"/>
    <mergeCell ref="E49:N49"/>
    <mergeCell ref="E51:N51"/>
    <mergeCell ref="E46:N46"/>
    <mergeCell ref="E53:N53"/>
    <mergeCell ref="A38:AB38"/>
    <mergeCell ref="C31:D31"/>
    <mergeCell ref="E44:N44"/>
    <mergeCell ref="D58:P58"/>
    <mergeCell ref="Q29:S29"/>
    <mergeCell ref="T29:V29"/>
    <mergeCell ref="W29:Y29"/>
    <mergeCell ref="T34:V34"/>
    <mergeCell ref="Q34:S34"/>
    <mergeCell ref="W34:Y34"/>
    <mergeCell ref="E40:N40"/>
    <mergeCell ref="E41:N41"/>
    <mergeCell ref="E47:N47"/>
    <mergeCell ref="E64:N64"/>
    <mergeCell ref="E65:N65"/>
    <mergeCell ref="E29:G29"/>
    <mergeCell ref="H29:J29"/>
    <mergeCell ref="K29:M29"/>
    <mergeCell ref="E34:G34"/>
    <mergeCell ref="H34:J34"/>
    <mergeCell ref="K34:M34"/>
    <mergeCell ref="E57:N57"/>
    <mergeCell ref="E60:N60"/>
    <mergeCell ref="E61:N61"/>
    <mergeCell ref="E62:N62"/>
    <mergeCell ref="E63:N63"/>
    <mergeCell ref="E52:N52"/>
    <mergeCell ref="E50:N50"/>
    <mergeCell ref="E56:N56"/>
    <mergeCell ref="E55:N55"/>
    <mergeCell ref="E54:N54"/>
    <mergeCell ref="A45:AB45"/>
    <mergeCell ref="A58:C65"/>
    <mergeCell ref="C29:D29"/>
    <mergeCell ref="C56:D56"/>
    <mergeCell ref="C44:D44"/>
    <mergeCell ref="Q58:AB65"/>
    <mergeCell ref="C40:D40"/>
    <mergeCell ref="C10:D10"/>
    <mergeCell ref="C11:D11"/>
    <mergeCell ref="C22:D22"/>
    <mergeCell ref="C20:D20"/>
    <mergeCell ref="C23:D23"/>
    <mergeCell ref="C26:D26"/>
    <mergeCell ref="C24:D24"/>
    <mergeCell ref="C16:D16"/>
    <mergeCell ref="C25:D25"/>
    <mergeCell ref="C21:D21"/>
    <mergeCell ref="C13:N13"/>
    <mergeCell ref="C54:D54"/>
    <mergeCell ref="C57:D57"/>
    <mergeCell ref="A29:A37"/>
    <mergeCell ref="C32:D32"/>
    <mergeCell ref="C34:D34"/>
    <mergeCell ref="C35:D35"/>
    <mergeCell ref="C36:D36"/>
    <mergeCell ref="C37:D37"/>
    <mergeCell ref="C27:D27"/>
    <mergeCell ref="C46:D46"/>
    <mergeCell ref="C53:D53"/>
    <mergeCell ref="C52:D52"/>
    <mergeCell ref="C50:D50"/>
    <mergeCell ref="C30:D30"/>
    <mergeCell ref="A28:AB28"/>
    <mergeCell ref="C55:D55"/>
    <mergeCell ref="C41:D41"/>
    <mergeCell ref="C47:D47"/>
    <mergeCell ref="C48:D48"/>
    <mergeCell ref="C49:D49"/>
    <mergeCell ref="C51:D51"/>
    <mergeCell ref="C43:D43"/>
    <mergeCell ref="C39:D39"/>
    <mergeCell ref="C42:D42"/>
    <mergeCell ref="Q30:S30"/>
    <mergeCell ref="Q31:S31"/>
    <mergeCell ref="Q32:S32"/>
    <mergeCell ref="E35:G35"/>
    <mergeCell ref="E36:G36"/>
    <mergeCell ref="E37:G37"/>
    <mergeCell ref="Q35:S35"/>
    <mergeCell ref="Q36:S36"/>
    <mergeCell ref="Q37:S37"/>
  </mergeCells>
  <pageMargins left="0.70866141732283472" right="0.70866141732283472" top="0.78740157480314965" bottom="0.78740157480314965" header="0.31496062992125984" footer="0.31496062992125984"/>
  <pageSetup paperSize="9" scale="65" orientation="portrait"/>
  <ignoredErrors>
    <ignoredError sqref="B16:O16 U16 AA16:AB16 A28:AB29 U24 X24 AA24 A33:AB34 A30 D30 A31 D31 A32 D32 I30 I31 I32 U30 U31 U32 L30 L31 L32 N30 N31 N32 X30 X31 X32 Z30:AB30 Z31:AB31 Z32:AB32 A38:AB38 A35 D35 A36 A37 I35 I36 I37 L35 L36 L37 N35 N36 N37 U35 U36 U37 X35 X36 X37 Z35:AB35 Z36:AB36 Z37:AB37 B17:O17 U17 X17 AA17:AB17 B18:O18 U18 X18 AA18:AB18 B19:N19 U19 X19 AA19:AB19 U21 X21 AA21:AB21 U22 X22 AA22:AB22 AA23 U27 X27 AA27 D44 F44:N44 U44 X44 AA44:AB44 D47 D48 Q51:S51 Q48:S48 U47 X47 AA47 U48 X48 AA48:AB48 AA51 X51 U51 U53 X53 AA53 AA56 AA57 X57 U57 U56 X56 Q19:S19 Q16:S16 Q17:S17 Q18:S18 Q23:S23 Q27:S27 C21:O21 C22:O22 C23:N23 C24:O24 C27:N27 Q21:S21 Q22:S22 Q24:S24 Q44:S44 Q47:S47 D53 Q53:S53 D56 F56:N56 D57 F57:N57 Q57:S57 Q56:S5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77D3-B38B-014E-B18B-145C6698762F}">
  <dimension ref="A1:I14"/>
  <sheetViews>
    <sheetView workbookViewId="0">
      <selection activeCell="A8" sqref="A8"/>
    </sheetView>
  </sheetViews>
  <sheetFormatPr baseColWidth="10" defaultRowHeight="15" x14ac:dyDescent="0.2"/>
  <cols>
    <col min="2" max="2" width="32.1640625" bestFit="1" customWidth="1"/>
    <col min="3" max="3" width="3.33203125" bestFit="1" customWidth="1"/>
    <col min="4" max="4" width="32.1640625" bestFit="1" customWidth="1"/>
    <col min="5" max="5" width="3.33203125" bestFit="1" customWidth="1"/>
    <col min="6" max="6" width="32.1640625" bestFit="1" customWidth="1"/>
    <col min="7" max="7" width="3.33203125" bestFit="1" customWidth="1"/>
    <col min="8" max="8" width="32.1640625" bestFit="1" customWidth="1"/>
  </cols>
  <sheetData>
    <row r="1" spans="1:9" ht="21" x14ac:dyDescent="0.25">
      <c r="A1" s="213"/>
      <c r="B1" s="214" t="str">
        <f>"1. C:"&amp;Spielplan!C35</f>
        <v>1. C:</v>
      </c>
      <c r="C1" s="213"/>
      <c r="D1" s="214" t="str">
        <f>"1. D:"&amp;Spielplan!P35</f>
        <v>1. D:</v>
      </c>
      <c r="E1" s="213"/>
      <c r="F1" s="214" t="str">
        <f>"1. A:"&amp;Spielplan!C30</f>
        <v>1. A:</v>
      </c>
      <c r="G1" s="213"/>
      <c r="H1" s="214" t="str">
        <f>"1. B:"&amp;Spielplan!P30</f>
        <v>1. B:</v>
      </c>
    </row>
    <row r="2" spans="1:9" x14ac:dyDescent="0.2">
      <c r="B2" s="218" t="s">
        <v>82</v>
      </c>
      <c r="D2" s="218" t="s">
        <v>82</v>
      </c>
      <c r="F2" s="218" t="s">
        <v>82</v>
      </c>
      <c r="H2" s="218" t="s">
        <v>82</v>
      </c>
    </row>
    <row r="3" spans="1:9" x14ac:dyDescent="0.2">
      <c r="B3" s="217" t="str">
        <f>Spielplan!C36</f>
        <v/>
      </c>
      <c r="D3" s="217" t="str">
        <f>Spielplan!P36</f>
        <v/>
      </c>
      <c r="F3" s="217" t="str">
        <f>Spielplan!C31</f>
        <v/>
      </c>
      <c r="H3" s="217" t="str">
        <f>Spielplan!P31</f>
        <v/>
      </c>
    </row>
    <row r="4" spans="1:9" ht="21" x14ac:dyDescent="0.25">
      <c r="A4" s="213"/>
      <c r="B4" s="215" t="str">
        <f>F13</f>
        <v>Los C</v>
      </c>
      <c r="C4" s="216" t="s">
        <v>83</v>
      </c>
      <c r="D4" s="215" t="str">
        <f>H13</f>
        <v>Los D</v>
      </c>
      <c r="E4" s="216" t="s">
        <v>83</v>
      </c>
      <c r="F4" s="215" t="str">
        <f>B13</f>
        <v>Los A</v>
      </c>
      <c r="G4" s="216" t="s">
        <v>83</v>
      </c>
      <c r="H4" s="215" t="str">
        <f>D13</f>
        <v>Los B</v>
      </c>
    </row>
    <row r="5" spans="1:9" x14ac:dyDescent="0.2">
      <c r="A5" t="s">
        <v>84</v>
      </c>
      <c r="B5" t="s">
        <v>34</v>
      </c>
      <c r="D5" t="s">
        <v>35</v>
      </c>
      <c r="F5" t="s">
        <v>36</v>
      </c>
      <c r="H5" t="s">
        <v>37</v>
      </c>
    </row>
    <row r="10" spans="1:9" ht="21" x14ac:dyDescent="0.25">
      <c r="A10" s="213"/>
      <c r="B10" s="214" t="str">
        <f>"1. A:"&amp;Spielplan!C30</f>
        <v>1. A:</v>
      </c>
      <c r="C10" s="213"/>
      <c r="D10" s="214" t="str">
        <f>"1. B:"&amp;Spielplan!P30</f>
        <v>1. B:</v>
      </c>
      <c r="E10" s="213"/>
      <c r="F10" s="214" t="str">
        <f>"1. C:"&amp;Spielplan!C35</f>
        <v>1. C:</v>
      </c>
      <c r="G10" s="213"/>
      <c r="H10" s="214" t="str">
        <f>"1. D:"&amp;Spielplan!P35</f>
        <v>1. D:</v>
      </c>
      <c r="I10" s="213"/>
    </row>
    <row r="11" spans="1:9" x14ac:dyDescent="0.2">
      <c r="B11" s="218" t="s">
        <v>82</v>
      </c>
      <c r="D11" s="218" t="s">
        <v>82</v>
      </c>
      <c r="F11" s="218" t="s">
        <v>82</v>
      </c>
      <c r="H11" s="218" t="s">
        <v>82</v>
      </c>
    </row>
    <row r="12" spans="1:9" ht="19" x14ac:dyDescent="0.25">
      <c r="B12" s="219" t="str">
        <f>Spielplan!C31</f>
        <v/>
      </c>
      <c r="D12" s="219" t="str">
        <f>Spielplan!P31</f>
        <v/>
      </c>
      <c r="F12" s="219" t="str">
        <f>Spielplan!C36</f>
        <v/>
      </c>
      <c r="H12" s="219" t="str">
        <f>Spielplan!P36</f>
        <v/>
      </c>
    </row>
    <row r="13" spans="1:9" ht="21" x14ac:dyDescent="0.25">
      <c r="A13" s="213"/>
      <c r="B13" s="215" t="s">
        <v>86</v>
      </c>
      <c r="C13" s="216" t="s">
        <v>83</v>
      </c>
      <c r="D13" s="215" t="s">
        <v>87</v>
      </c>
      <c r="E13" s="216" t="s">
        <v>83</v>
      </c>
      <c r="F13" s="215" t="s">
        <v>88</v>
      </c>
      <c r="G13" s="216" t="s">
        <v>83</v>
      </c>
      <c r="H13" s="215" t="s">
        <v>89</v>
      </c>
      <c r="I13" s="213"/>
    </row>
    <row r="14" spans="1:9" ht="21" x14ac:dyDescent="0.25">
      <c r="A14" t="s">
        <v>84</v>
      </c>
      <c r="B14" t="s">
        <v>32</v>
      </c>
      <c r="D14" t="s">
        <v>35</v>
      </c>
      <c r="F14" t="s">
        <v>37</v>
      </c>
      <c r="H14" t="s">
        <v>34</v>
      </c>
      <c r="I14" s="220" t="s">
        <v>85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"/>
  <sheetViews>
    <sheetView workbookViewId="0">
      <selection activeCell="B3" sqref="B3:D3"/>
    </sheetView>
  </sheetViews>
  <sheetFormatPr baseColWidth="10" defaultRowHeight="15" x14ac:dyDescent="0.2"/>
  <cols>
    <col min="1" max="1" width="16.1640625" customWidth="1"/>
    <col min="2" max="2" width="4.6640625" customWidth="1"/>
    <col min="3" max="3" width="1.6640625" bestFit="1" customWidth="1"/>
    <col min="4" max="5" width="4.6640625" customWidth="1"/>
    <col min="6" max="6" width="1.6640625" bestFit="1" customWidth="1"/>
    <col min="7" max="8" width="4.6640625" customWidth="1"/>
    <col min="9" max="9" width="1.6640625" bestFit="1" customWidth="1"/>
    <col min="10" max="10" width="4.6640625" customWidth="1"/>
    <col min="11" max="11" width="5" customWidth="1"/>
    <col min="12" max="12" width="3.33203125" customWidth="1"/>
    <col min="13" max="13" width="4.6640625" customWidth="1"/>
    <col min="14" max="14" width="5" customWidth="1"/>
    <col min="15" max="15" width="1.6640625" bestFit="1" customWidth="1"/>
    <col min="16" max="16" width="4.83203125" customWidth="1"/>
    <col min="17" max="17" width="5.1640625" customWidth="1"/>
    <col min="18" max="18" width="1.6640625" bestFit="1" customWidth="1"/>
    <col min="19" max="19" width="5.6640625" customWidth="1"/>
  </cols>
  <sheetData>
    <row r="1" spans="1:21" x14ac:dyDescent="0.2">
      <c r="A1" s="131" t="s">
        <v>73</v>
      </c>
      <c r="B1" s="289" t="s">
        <v>70</v>
      </c>
      <c r="C1" s="290"/>
      <c r="D1" s="293"/>
      <c r="E1" s="290" t="s">
        <v>71</v>
      </c>
      <c r="F1" s="290"/>
      <c r="G1" s="293"/>
      <c r="H1" s="290" t="s">
        <v>72</v>
      </c>
      <c r="I1" s="290"/>
      <c r="J1" s="293"/>
      <c r="K1" s="127" t="s">
        <v>76</v>
      </c>
      <c r="L1" s="127" t="s">
        <v>74</v>
      </c>
      <c r="M1" s="127" t="s">
        <v>75</v>
      </c>
    </row>
    <row r="2" spans="1:21" x14ac:dyDescent="0.2">
      <c r="A2" s="132" t="str">
        <f>Spielplan!C4</f>
        <v>SC Union Lüdinghausen</v>
      </c>
      <c r="B2" s="389">
        <f>IF(Spielplan!Q16&gt;Spielplan!S16,2,IF(AND(Spielplan!Q16&gt;0,Spielplan!Q16=Spielplan!S16),1,0))+IF(Spielplan!Q24&gt;Spielplan!S24,2,IF(AND(Spielplan!Q24&gt;0,Spielplan!Q24=Spielplan!S24),1,0))</f>
        <v>0</v>
      </c>
      <c r="C2" s="390"/>
      <c r="D2" s="391"/>
      <c r="E2" s="133">
        <f>Spielplan!Q16+Spielplan!Q24</f>
        <v>0</v>
      </c>
      <c r="F2" s="134" t="s">
        <v>69</v>
      </c>
      <c r="G2" s="135">
        <f>Spielplan!S16+Spielplan!S24</f>
        <v>0</v>
      </c>
      <c r="H2" s="133">
        <f>Spielplan!T16+Spielplan!W16+Spielplan!Z16+Spielplan!T24+Spielplan!W24+Spielplan!Z24</f>
        <v>0</v>
      </c>
      <c r="I2" s="134" t="s">
        <v>69</v>
      </c>
      <c r="J2" s="135">
        <f>Spielplan!V16+Spielplan!Y16+Spielplan!AB16+Spielplan!V24+Spielplan!Y24+Spielplan!AB24</f>
        <v>0</v>
      </c>
      <c r="K2" s="127">
        <f>B2</f>
        <v>0</v>
      </c>
      <c r="L2" s="127">
        <f>IF(G2=0,10000000,E2/G2)</f>
        <v>10000000</v>
      </c>
      <c r="M2" s="127">
        <f>IF(J2=0,10000000,H2/J2)</f>
        <v>10000000</v>
      </c>
    </row>
    <row r="3" spans="1:21" x14ac:dyDescent="0.2">
      <c r="A3" s="132" t="str">
        <f>Spielplan!C5</f>
        <v>TSV Bayer Dormagen</v>
      </c>
      <c r="B3" s="389">
        <f>IF(Spielplan!Q20&gt;Spielplan!S20,2,IF(AND(Spielplan!Q20&gt;0,Spielplan!Q20=Spielplan!S20),1,0))+IF(Spielplan!S24&gt;Spielplan!Q24,2,IF(AND(Spielplan!S24&gt;0,Spielplan!S24=Spielplan!Q24),1,0))</f>
        <v>0</v>
      </c>
      <c r="C3" s="390"/>
      <c r="D3" s="391"/>
      <c r="E3" s="136">
        <f>Spielplan!Q20+Spielplan!S24</f>
        <v>0</v>
      </c>
      <c r="F3" s="137" t="s">
        <v>69</v>
      </c>
      <c r="G3" s="138">
        <f>Spielplan!S20+Spielplan!Q24</f>
        <v>0</v>
      </c>
      <c r="H3" s="139">
        <f>Spielplan!T20+Spielplan!W20+Spielplan!Z20+Spielplan!V24+Spielplan!Y24+Spielplan!AB24</f>
        <v>0</v>
      </c>
      <c r="I3" s="137" t="s">
        <v>69</v>
      </c>
      <c r="J3" s="135">
        <f>Spielplan!V20+Spielplan!Y20+Spielplan!AB20+Spielplan!T24+Spielplan!W24+Spielplan!Z24</f>
        <v>0</v>
      </c>
      <c r="K3" s="127">
        <f t="shared" ref="K3:K5" si="0">B3</f>
        <v>0</v>
      </c>
      <c r="L3" s="127">
        <f t="shared" ref="L3:L5" si="1">IF(G3=0,10000000,E3/G3)</f>
        <v>10000000</v>
      </c>
      <c r="M3" s="127">
        <f t="shared" ref="M3:M5" si="2">IF(J3=0,10000000,H3/J3)</f>
        <v>10000000</v>
      </c>
    </row>
    <row r="4" spans="1:21" ht="16" thickBot="1" x14ac:dyDescent="0.25">
      <c r="A4" s="140" t="str">
        <f>Spielplan!C6</f>
        <v>TuS Velen</v>
      </c>
      <c r="B4" s="392">
        <f>IF(Spielplan!S16&gt;Spielplan!Q16,2,IF(AND(Spielplan!S16&gt;0,Spielplan!S16=Spielplan!Q16),1,0))+IF(Spielplan!S20&gt;Spielplan!Q20,2,IF(AND(Spielplan!S20&gt;0,Spielplan!S20=Spielplan!Q20),1,0))</f>
        <v>0</v>
      </c>
      <c r="C4" s="393"/>
      <c r="D4" s="394"/>
      <c r="E4" s="141">
        <f>Spielplan!S16+Spielplan!S20</f>
        <v>0</v>
      </c>
      <c r="F4" s="142" t="s">
        <v>69</v>
      </c>
      <c r="G4" s="143">
        <f>Spielplan!Q16+Spielplan!Q20</f>
        <v>0</v>
      </c>
      <c r="H4" s="144">
        <f>Spielplan!V16+Spielplan!Y16+Spielplan!AB16+Spielplan!V20+Spielplan!Y20+Spielplan!AB20</f>
        <v>0</v>
      </c>
      <c r="I4" s="142" t="s">
        <v>69</v>
      </c>
      <c r="J4" s="145">
        <f>Spielplan!T16+Spielplan!W16+Spielplan!Z16+Spielplan!T20+Spielplan!W20+Spielplan!Z20</f>
        <v>0</v>
      </c>
      <c r="K4" s="127">
        <f t="shared" si="0"/>
        <v>0</v>
      </c>
      <c r="L4" s="127">
        <f t="shared" si="1"/>
        <v>10000000</v>
      </c>
      <c r="M4" s="127">
        <f t="shared" si="2"/>
        <v>10000000</v>
      </c>
    </row>
    <row r="5" spans="1:21" x14ac:dyDescent="0.2">
      <c r="A5" s="146"/>
      <c r="B5" s="378"/>
      <c r="C5" s="378"/>
      <c r="D5" s="378"/>
      <c r="E5" s="147"/>
      <c r="F5" s="148"/>
      <c r="G5" s="149"/>
      <c r="H5" s="150"/>
      <c r="I5" s="148"/>
      <c r="J5" s="151"/>
      <c r="K5" s="127">
        <f t="shared" si="0"/>
        <v>0</v>
      </c>
      <c r="L5" s="127">
        <f t="shared" si="1"/>
        <v>10000000</v>
      </c>
      <c r="M5" s="127">
        <f t="shared" si="2"/>
        <v>10000000</v>
      </c>
    </row>
    <row r="6" spans="1:21" ht="16" thickBot="1" x14ac:dyDescent="0.25"/>
    <row r="7" spans="1:21" ht="16" thickBot="1" x14ac:dyDescent="0.25">
      <c r="A7" s="156"/>
      <c r="B7" s="376" t="s">
        <v>73</v>
      </c>
      <c r="C7" s="376"/>
      <c r="D7" s="376"/>
      <c r="E7" s="376"/>
      <c r="F7" s="376"/>
      <c r="G7" s="376"/>
      <c r="H7" s="376"/>
      <c r="I7" s="376"/>
      <c r="J7" s="377"/>
      <c r="K7" s="381" t="s">
        <v>70</v>
      </c>
      <c r="L7" s="374"/>
      <c r="M7" s="375"/>
      <c r="N7" s="374" t="s">
        <v>71</v>
      </c>
      <c r="O7" s="374"/>
      <c r="P7" s="375"/>
      <c r="Q7" s="374" t="s">
        <v>72</v>
      </c>
      <c r="R7" s="374"/>
      <c r="S7" s="375"/>
    </row>
    <row r="8" spans="1:21" x14ac:dyDescent="0.2">
      <c r="A8" s="152" t="s">
        <v>54</v>
      </c>
      <c r="B8" s="379" t="str">
        <f>IF(SUM(B2:B4)=0,"",
IF(OR(AND(K2&gt;K3,K2&gt;K4),
AND(K2=K3,K2&gt;K4,L2&gt;L3),AND(K2=K3,K2&gt;K4,L2=L3,M2&gt;M3),AND(K2=K3,K2&gt;K4,L2=L3,M2=M3,H2&gt;H3), AND(K2&gt;K3,K2=K4,L2&gt;L4),AND(K2&gt;K3,K2=K4,L2=L4,M2&gt;M4),AND(K2&gt;K3,K2=K4,L2=L4,M2=M4,H2&gt;H4),
AND(K2=K3,K2=K4,L2&gt;L3,L2&gt;L4),
AND(K2=K3,K2=K4,L2=L3,L2&gt;L4,M2&gt;M3), AND(K2=K3,K2=K4,L2=L3,L2&gt;L4,M2=M3,H2&gt;H3),
AND(K2=K3,K2=K4,L2&gt;L3,L2=L4,M2&gt;M4), AND(K2=K3,K2=K4,L2&gt;L3,L2=L4,M2=M4,H2&gt;H4),
AND(K2=K3,K2=K4,L2=L3,L2=L4,M2&gt;M3,M2&gt;M4), AND(K2=K3,K2=K4,L2=L3,L2=L4,M2=M3,M2&gt;M4,H2&gt;H3),
AND(K2=K3,K2=K4,L2=L3,L2=L4,M2&gt;M3,M2=M4,H2&gt;H4)
),
A2,
IF(OR(AND(K3&gt;K2,K3&gt;K4),
AND(K3=K2,K3&gt;K4,L3&gt;L2),AND(K3=K2,K3&gt;K4,L3=L2,M3&gt;M2),AND(K3=K2,K3&gt;K4,L3=L2,M3=M2,H3&gt;H2), AND(K3&gt;K2,K3=K4,L3&gt;L4),AND(K3&gt;K2,K3=K4,L3=L4,M3&gt;M4),AND(K3&gt;K2,K3=K4,L3=L4,M3=M4,H3&gt;H4),
AND(K3=K2,K3=K4,L3&gt;L2,L3&gt;L4),
AND(K2=K2,K3=K4,L3=L2,L3&gt;L4,M3&gt;M2), AND(K3=K2,K3=K4,L3=L2,L3&gt;L4,M3=M2,H3&gt;H2),
AND(K3=K2,K3=K4,L3&gt;L2,L3=L4,M3&gt;M4), AND(K3=K2,K3=K4,L3&gt;L2,L3=L4,M3=M4,H3&gt;H4),
AND(K3=K2,K3=K4,L3=L2,L3=L4,M3&gt;M2,M3&gt;M4), AND(K3=K2,K3=K4,L3=L2,L3=L4,M3=M2,M3&gt;M4,H3&gt;H2),
AND(K3=K2,K3=K4,L3=L2,L3=L4,M3&gt;M2,M3=M4,H3&gt;H4)
),
A3,
IF(OR(AND(K4&gt;K3,K4&gt;K2),
AND(K4=K3,K4&gt;K2,L4&gt;L3),AND(K4=K3,K4&gt;K2,L4=L3,M4&gt;M3),AND(K4=K3,K4&gt;K2,L4=L3,M4=M3,H4&gt;H3), AND(K4&gt;K3,K4=K2,L4&gt;L2),AND(K4&gt;K3,K4=K2,L4=L2,M4&gt;M2),AND(K4&gt;K3,K4=K2,L4=L2,M4=M2,H4&gt;H2),
AND(K4=K3,K4=K2,L4&gt;L3,L4&gt;L2),
AND(K4=K3,K4=K2,L4=L3,L4&gt;L2,M4&gt;M3), AND(K4=K3,K4=K2,L4=L3,L4&gt;L2,M4=M3,H4&gt;H3),
AND(K4=K3,K4=K2,L4&gt;L3,L4=L2,M4&gt;M2), AND(K4=K3,K4=K2,L4&gt;L3,L4=L2,M4=M2,H4&gt;H2),
AND(K4=K3,K4=K2,L4=L3,L4=L3,M4&gt;M3,M4&gt;M2), AND(K4=K3,K4=K2,L4=L3,L4=L2,M4=M3,M4&gt;M2,H4&gt;H3),
AND(K4=K3,K4=K2,L4=L3,L4=L2,M4&gt;M3,M4=M2,H4&gt;H2)
),
A4,A2
))))</f>
        <v/>
      </c>
      <c r="C8" s="379"/>
      <c r="D8" s="379"/>
      <c r="E8" s="379"/>
      <c r="F8" s="379"/>
      <c r="G8" s="379"/>
      <c r="H8" s="379"/>
      <c r="I8" s="379"/>
      <c r="J8" s="380"/>
      <c r="K8" s="386" t="str">
        <f>IF(B8="","",IF($B8=$A$2,B$2,IF($B8=$A$3,B$3,IF($B8=$A$4,B$4,0))))</f>
        <v/>
      </c>
      <c r="L8" s="387"/>
      <c r="M8" s="388"/>
      <c r="N8" s="153" t="str">
        <f>IF(B8="","",IF($B8=$A$2,E$2,IF($B8=$A$3,E$3,IF($B8=$A$4,E$4,0))))</f>
        <v/>
      </c>
      <c r="O8" s="154" t="s">
        <v>69</v>
      </c>
      <c r="P8" s="155" t="str">
        <f>IF(B8="","",IF($B8=$A$2,G$2,IF($B8=$A$3,G$3,IF($B8=$A$4,G$4,0))))</f>
        <v/>
      </c>
      <c r="Q8" s="153" t="str">
        <f>IF(B8="","",IF($B8=$A$2,H$2,IF($B8=$A$3,H$3,IF($B8=$A$4,H$4,0))))</f>
        <v/>
      </c>
      <c r="R8" s="154" t="s">
        <v>69</v>
      </c>
      <c r="S8" s="155" t="str">
        <f>IF(B8="","",IF($B8=$A$2,J$2,IF($B8=$A$3,J$3,IF($B8=$A$4,J$4,0))))</f>
        <v/>
      </c>
      <c r="T8" s="127" t="e">
        <f>IF(P8=0,100000000,N8/P8)</f>
        <v>#VALUE!</v>
      </c>
      <c r="U8" s="127" t="e">
        <f>IF(S8=0,100000000,Q8/S8)</f>
        <v>#VALUE!</v>
      </c>
    </row>
    <row r="9" spans="1:21" x14ac:dyDescent="0.2">
      <c r="A9" s="136" t="str">
        <f>IF(B8="","",IF(AND(K9=K8,T9=T8,U9=U8),A8,"2."))</f>
        <v/>
      </c>
      <c r="B9" s="382" t="str">
        <f>IF(OR(AND(B8=A2,B10=A3),AND(B8=A3,B10=A2)),A4,IF(OR(AND(B8=A2,B10=A4),AND(B8=A4,B10=A2)),A3,IF(OR(AND(B8=A3,B10=A4),AND(B8=A4,B10=A3)),A2,"")))</f>
        <v/>
      </c>
      <c r="C9" s="382"/>
      <c r="D9" s="382"/>
      <c r="E9" s="382"/>
      <c r="F9" s="382"/>
      <c r="G9" s="382"/>
      <c r="H9" s="382"/>
      <c r="I9" s="382"/>
      <c r="J9" s="383"/>
      <c r="K9" s="389" t="str">
        <f>IF(B9="","",IF($B9=$A$2,B$2,IF($B9=$A$3,B$3,IF($B9=$A$4,B$4,0))))</f>
        <v/>
      </c>
      <c r="L9" s="390"/>
      <c r="M9" s="391"/>
      <c r="N9" s="136" t="str">
        <f>IF(B9="","",IF($B9=$A$2,E$2,IF($B9=$A$3,E$3,IF($B9=$A$4,E$4,0))))</f>
        <v/>
      </c>
      <c r="O9" s="137" t="s">
        <v>69</v>
      </c>
      <c r="P9" s="138" t="str">
        <f>IF(B9="","",IF($B9=$A$2,G$2,IF($B9=$A$3,G$3,IF($B9=$A$4,G$4,0))))</f>
        <v/>
      </c>
      <c r="Q9" s="139" t="str">
        <f>IF(B9="","",IF($B9=$A$2,H$2,IF($B9=$A$3,H$3,IF($B9=$A$4,H$4,0))))</f>
        <v/>
      </c>
      <c r="R9" s="137" t="s">
        <v>69</v>
      </c>
      <c r="S9" s="135" t="str">
        <f>IF(B9="","",IF($B9=$A$2,J$2,IF($B9=$A$3,J$3,IF($B9=$A$4,J$4,0))))</f>
        <v/>
      </c>
      <c r="T9" s="127" t="e">
        <f t="shared" ref="T9:T10" si="3">IF(P9=0,100000000,N9/P9)</f>
        <v>#VALUE!</v>
      </c>
      <c r="U9" s="127" t="e">
        <f t="shared" ref="U9:U10" si="4">IF(S9=0,100000000,Q9/S9)</f>
        <v>#VALUE!</v>
      </c>
    </row>
    <row r="10" spans="1:21" ht="16" thickBot="1" x14ac:dyDescent="0.25">
      <c r="A10" s="141" t="str">
        <f>IF(B8="","",IF(AND(K10=K9,T10=T9,U10=U9),A9,"3."))</f>
        <v/>
      </c>
      <c r="B10" s="384" t="str">
        <f>IF(SUM(B2:B4)=0,"",
IF(OR(AND(K2&lt;K3,K2&lt;K4),
AND(K2=K3,K2&lt;K4,L2&lt;L3),AND(K2=K3,K2&lt;K4,L2=L3,M2&lt;M3),AND(K2=K3,K2&lt;K4,L2=L3,M2=M3,H2&lt;H3),AND(K2&lt;K3,K2=K4,L2&lt;L4),AND(K2&lt;K3,K2=K4,L2=L4,M2&lt;M4),AND(K2&lt;K3,K2=K4,L2=L4,M2=M4,H2&lt;H4),
AND(K2=K3,K2=K4,L2&lt;L3,L2&lt;L4),
AND(K2=K3,K2=K4,L2=L3,L2&lt;L4,M2&lt;M3),AND(K2=K3,K2=K4,L2=L3,L2&lt;L4,M2=M3,H2&lt;H3),
AND(K2=K3,K2=K4,L2&lt;L3,L2=L4,M2&lt;M4),AND(K2=K3,K2=K4,L2&lt;L3,L2=L4,M2=M4,H2&lt;H4),
AND(K2=K3,K2=K4,L2=L3,L2=L4,M2&lt;M3,M2&lt;M4),AND(K2=K3,K2=K4,L2=L3,L2=L4,M2=M3,M2&lt;M4,H2&lt;H3),
AND(K2=K3,K2=K4,L2=L3,L2=L4,M2&lt;M3,M2=M4,H2&lt;H4)
),
A2,
IF(OR(AND(K3&lt;K2,K3&lt;K4),
AND(K3=K2,K3&lt;K4,L3&lt;L2),AND(K3=K2,K3&lt;K4,L3=L2,M3&lt;M2),AND(K3=K2,K3&lt;K4,L3=L2,M3=M2,H3&lt;H2),AND(K3&lt;K2,K3=K4,L3&lt;L4),AND(K3&lt;K2,K3=K4,L3=L4,M3&lt;M4),AND(K3&lt;K2,K3=K4,L3=L4,M3=M4,H3&lt;H4),
AND(K3=K2,K3=K4,L3&lt;L2,L3&lt;L4),
AND(K2=K2,K3=K4,L3=L2,L3&lt;L4,M3&lt;M2),AND(K3=K2,K3=K4,L3=L2,L3&lt;L4,M3=M2,H3&lt;H2),
AND(K3=K2,K3=K4,L3&lt;L2,L3=L4,M3&lt;M4),AND(K3=K2,K3=K4,L3&lt;L2,L3=L4,M3=M4,H3&lt;H4),
AND(K3=K2,K3=K4,L3=L2,L3=L4,M3&lt;M2,M3&lt;M4),AND(K3=K2,K3=K4,L3=L2,L3=L4,M3=M2,M3&lt;M4,H3&lt;H2),
AND(K3=K2,K3=K4,L3=L2,L3=L4,M3&lt;M2,M3=M4,H3&lt;H4)
),
A3,
IF(OR(AND(K4&lt;K3,K4&lt;K2),
AND(K4=K3,K4&lt;K2,L4&lt;L3),AND(K4=K3,K4&lt;K2,L4=L3,M4&lt;M3),AND(K4=K3,K4&lt;K2,L4=L3,M4=M3,H4&lt;H3),AND(K4&lt;K3,K4=K2,L4&lt;L2),AND(K4&lt;K3,K4=K2,L4=L2,M4&lt;M2),AND(K4&lt;K3,K4=K2,L4=L2,M4=M2,H4&lt;H2),
AND(K4=K3,K4=K2,L4&lt;L3,L4&lt;L2),
AND(K4=K3,K4=K2,L4=L3,L4&lt;L2,M4&lt;M3),AND(K4=K3,K4=K2,L4=L3,L4&lt;L2,M4=M3,H4&lt;H3),
AND(K4=K3,K4=K2,L4&lt;L3,L4=L2,M4&lt;M2),AND(K4=K3,K4=K2,L4&lt;L3,L4=L2,M4=M2,H4&lt;H2),
AND(K4=K3,K4=K2,L4=L3,L4=L3,M4&lt;M3,M4&lt;M2),AND(K4=K3,K4=K2,L4=L3,L4=L2,M4=M3,M4&lt;M2,H4&lt;H3),
AND(K4=K3,K4=K2,L4=L3,L4=L2,M4&lt;M3,M4=M2,H4&lt;H2)
),
A4,A4
))))</f>
        <v/>
      </c>
      <c r="C10" s="384"/>
      <c r="D10" s="384"/>
      <c r="E10" s="384"/>
      <c r="F10" s="384"/>
      <c r="G10" s="384"/>
      <c r="H10" s="384"/>
      <c r="I10" s="384"/>
      <c r="J10" s="385"/>
      <c r="K10" s="392" t="str">
        <f>IF(B10="","",IF($B10=$A$2,B$2,IF($B10=$A$3,B$3,IF($B10=$A$4,B$4,0))))</f>
        <v/>
      </c>
      <c r="L10" s="393"/>
      <c r="M10" s="394"/>
      <c r="N10" s="141" t="str">
        <f>IF(B10="","",IF($B10=$A$2,E$2,IF($B10=$A$3,E$3,IF($B10=$A$4,E$4,0))))</f>
        <v/>
      </c>
      <c r="O10" s="142" t="s">
        <v>69</v>
      </c>
      <c r="P10" s="143" t="str">
        <f>IF(B10="","",IF($B10=$A$2,G$2,IF($B10=$A$3,G$3,IF($B10=$A$4,G$4,0))))</f>
        <v/>
      </c>
      <c r="Q10" s="144" t="str">
        <f>IF(B10="","",IF($B10=$A$2,H$2,IF($B10=$A$3,H$3,IF($B10=$A$4,H$4,0))))</f>
        <v/>
      </c>
      <c r="R10" s="142" t="s">
        <v>69</v>
      </c>
      <c r="S10" s="145" t="str">
        <f>IF(B10="","",IF($B10=$A$2,J$2,IF($B10=$A$3,J$3,IF($B10=$A$4,J$4,0))))</f>
        <v/>
      </c>
      <c r="T10" s="127" t="e">
        <f t="shared" si="3"/>
        <v>#VALUE!</v>
      </c>
      <c r="U10" s="127" t="e">
        <f t="shared" si="4"/>
        <v>#VALUE!</v>
      </c>
    </row>
  </sheetData>
  <customSheetViews>
    <customSheetView guid="{E283EB08-68AF-4ED4-8677-B7D8E39E2424}">
      <pageMargins left="0.7" right="0.7" top="0.78740157499999996" bottom="0.78740157499999996" header="0.3" footer="0.3"/>
    </customSheetView>
  </customSheetViews>
  <mergeCells count="17">
    <mergeCell ref="B4:D4"/>
    <mergeCell ref="B1:D1"/>
    <mergeCell ref="E1:G1"/>
    <mergeCell ref="H1:J1"/>
    <mergeCell ref="B2:D2"/>
    <mergeCell ref="B3:D3"/>
    <mergeCell ref="B9:J9"/>
    <mergeCell ref="B10:J10"/>
    <mergeCell ref="K8:M8"/>
    <mergeCell ref="K9:M9"/>
    <mergeCell ref="K10:M10"/>
    <mergeCell ref="N7:P7"/>
    <mergeCell ref="Q7:S7"/>
    <mergeCell ref="B7:J7"/>
    <mergeCell ref="B5:D5"/>
    <mergeCell ref="B8:J8"/>
    <mergeCell ref="K7:M7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0557-80E5-CC4F-A967-F411E52CC8A8}">
  <dimension ref="A1:U10"/>
  <sheetViews>
    <sheetView workbookViewId="0">
      <selection activeCell="A7" sqref="A7:S10"/>
    </sheetView>
  </sheetViews>
  <sheetFormatPr baseColWidth="10" defaultRowHeight="15" x14ac:dyDescent="0.2"/>
  <cols>
    <col min="1" max="1" width="16.1640625" customWidth="1"/>
    <col min="2" max="2" width="4.6640625" customWidth="1"/>
    <col min="3" max="3" width="1.6640625" bestFit="1" customWidth="1"/>
    <col min="4" max="5" width="4.6640625" customWidth="1"/>
    <col min="6" max="6" width="1.6640625" bestFit="1" customWidth="1"/>
    <col min="7" max="8" width="4.6640625" customWidth="1"/>
    <col min="9" max="9" width="1.6640625" bestFit="1" customWidth="1"/>
    <col min="10" max="10" width="4.6640625" customWidth="1"/>
    <col min="11" max="11" width="5" customWidth="1"/>
    <col min="12" max="12" width="3.33203125" customWidth="1"/>
    <col min="13" max="13" width="4.6640625" customWidth="1"/>
    <col min="14" max="14" width="5" customWidth="1"/>
    <col min="15" max="15" width="1.6640625" bestFit="1" customWidth="1"/>
    <col min="16" max="16" width="4.83203125" customWidth="1"/>
    <col min="17" max="17" width="5.1640625" customWidth="1"/>
    <col min="18" max="18" width="1.6640625" bestFit="1" customWidth="1"/>
    <col min="19" max="19" width="5.6640625" customWidth="1"/>
  </cols>
  <sheetData>
    <row r="1" spans="1:21" x14ac:dyDescent="0.2">
      <c r="A1" s="223" t="s">
        <v>73</v>
      </c>
      <c r="B1" s="294" t="s">
        <v>70</v>
      </c>
      <c r="C1" s="295"/>
      <c r="D1" s="297"/>
      <c r="E1" s="295" t="s">
        <v>71</v>
      </c>
      <c r="F1" s="295"/>
      <c r="G1" s="297"/>
      <c r="H1" s="295" t="s">
        <v>72</v>
      </c>
      <c r="I1" s="295"/>
      <c r="J1" s="297"/>
      <c r="K1" s="127" t="s">
        <v>76</v>
      </c>
      <c r="L1" s="127" t="s">
        <v>74</v>
      </c>
      <c r="M1" s="127" t="s">
        <v>75</v>
      </c>
    </row>
    <row r="2" spans="1:21" x14ac:dyDescent="0.2">
      <c r="A2" s="224" t="str">
        <f>Spielplan!P4</f>
        <v>DJK Sümmern</v>
      </c>
      <c r="B2" s="417">
        <f>IF(Spielplan!Q17&gt;Spielplan!S17,2,IF(AND(Spielplan!Q17&gt;0,Spielplan!Q17=Spielplan!S17),1,0))+IF(Spielplan!Q25&gt;Spielplan!S25,2,IF(AND(Spielplan!Q25&gt;0,Spielplan!Q25=Spielplan!S25),1,0))</f>
        <v>0</v>
      </c>
      <c r="C2" s="418"/>
      <c r="D2" s="419"/>
      <c r="E2" s="225">
        <f>Spielplan!Q17+Spielplan!Q25</f>
        <v>0</v>
      </c>
      <c r="F2" s="226" t="s">
        <v>69</v>
      </c>
      <c r="G2" s="227">
        <f>Spielplan!S17+Spielplan!S25</f>
        <v>0</v>
      </c>
      <c r="H2" s="225">
        <f>Spielplan!T17+Spielplan!W17+Spielplan!Z17+Spielplan!T25+Spielplan!W25+Spielplan!Z25</f>
        <v>0</v>
      </c>
      <c r="I2" s="226" t="s">
        <v>69</v>
      </c>
      <c r="J2" s="227">
        <f>Spielplan!V17+Spielplan!Y17+Spielplan!AB17+Spielplan!V25+Spielplan!Y25+Spielplan!AB25</f>
        <v>0</v>
      </c>
      <c r="K2" s="127">
        <f>B2</f>
        <v>0</v>
      </c>
      <c r="L2" s="127">
        <f>IF(G2=0,10000000,E2/G2)</f>
        <v>10000000</v>
      </c>
      <c r="M2" s="127">
        <f>IF(J2=0,10000000,H2/J2)</f>
        <v>10000000</v>
      </c>
    </row>
    <row r="3" spans="1:21" x14ac:dyDescent="0.2">
      <c r="A3" s="224" t="str">
        <f>Spielplan!P5</f>
        <v>SV Wachtberg</v>
      </c>
      <c r="B3" s="417">
        <f>IF(Spielplan!Q21&gt;Spielplan!S21,2,IF(AND(Spielplan!Q21&gt;0,Spielplan!Q21=Spielplan!S21),1,0))+IF(Spielplan!S25&gt;Spielplan!Q25,2,IF(AND(Spielplan!S25&gt;0,Spielplan!S25=Spielplan!Q25),1,0))</f>
        <v>0</v>
      </c>
      <c r="C3" s="418"/>
      <c r="D3" s="419"/>
      <c r="E3" s="228">
        <f>Spielplan!Q21+Spielplan!S25</f>
        <v>0</v>
      </c>
      <c r="F3" s="229" t="s">
        <v>69</v>
      </c>
      <c r="G3" s="230">
        <f>Spielplan!S21+Spielplan!Q25</f>
        <v>0</v>
      </c>
      <c r="H3" s="231">
        <f>Spielplan!T21+Spielplan!W21+Spielplan!Z21+Spielplan!V25+Spielplan!Y25+Spielplan!AB25</f>
        <v>0</v>
      </c>
      <c r="I3" s="229" t="s">
        <v>69</v>
      </c>
      <c r="J3" s="227">
        <f>Spielplan!V21+Spielplan!Y21+Spielplan!AB21+Spielplan!T25+Spielplan!W25+Spielplan!Z25</f>
        <v>0</v>
      </c>
      <c r="K3" s="127">
        <f t="shared" ref="K3:K5" si="0">B3</f>
        <v>0</v>
      </c>
      <c r="L3" s="127">
        <f t="shared" ref="L3:L5" si="1">IF(G3=0,10000000,E3/G3)</f>
        <v>10000000</v>
      </c>
      <c r="M3" s="127">
        <f t="shared" ref="M3:M5" si="2">IF(J3=0,10000000,H3/J3)</f>
        <v>10000000</v>
      </c>
    </row>
    <row r="4" spans="1:21" ht="16" thickBot="1" x14ac:dyDescent="0.25">
      <c r="A4" s="232" t="str">
        <f>Spielplan!P6</f>
        <v>Werdener TB</v>
      </c>
      <c r="B4" s="422">
        <f>IF(Spielplan!S17&gt;Spielplan!Q17,2,IF(AND(Spielplan!S17&gt;0,Spielplan!S17=Spielplan!Q17),1,0))+IF(Spielplan!S21&gt;Spielplan!Q21,2,IF(AND(Spielplan!S21&gt;0,Spielplan!S21=Spielplan!Q21),1,0))</f>
        <v>0</v>
      </c>
      <c r="C4" s="423"/>
      <c r="D4" s="424"/>
      <c r="E4" s="233">
        <f>Spielplan!S17+Spielplan!S21</f>
        <v>0</v>
      </c>
      <c r="F4" s="234" t="s">
        <v>69</v>
      </c>
      <c r="G4" s="235">
        <f>Spielplan!Q17+Spielplan!Q21</f>
        <v>0</v>
      </c>
      <c r="H4" s="236">
        <f>Spielplan!V17+Spielplan!Y17+Spielplan!AB17+Spielplan!V21+Spielplan!Y21+Spielplan!AB21</f>
        <v>0</v>
      </c>
      <c r="I4" s="234" t="s">
        <v>69</v>
      </c>
      <c r="J4" s="237">
        <f>Spielplan!T17+Spielplan!W17+Spielplan!Z17+Spielplan!T21+Spielplan!W21+Spielplan!Z21</f>
        <v>0</v>
      </c>
      <c r="K4" s="127">
        <f t="shared" si="0"/>
        <v>0</v>
      </c>
      <c r="L4" s="127">
        <f t="shared" si="1"/>
        <v>10000000</v>
      </c>
      <c r="M4" s="127">
        <f t="shared" si="2"/>
        <v>10000000</v>
      </c>
    </row>
    <row r="5" spans="1:21" x14ac:dyDescent="0.2">
      <c r="A5" s="146"/>
      <c r="B5" s="378"/>
      <c r="C5" s="378"/>
      <c r="D5" s="378"/>
      <c r="E5" s="147"/>
      <c r="F5" s="148"/>
      <c r="G5" s="149"/>
      <c r="H5" s="150"/>
      <c r="I5" s="148"/>
      <c r="J5" s="151"/>
      <c r="K5" s="127">
        <f t="shared" si="0"/>
        <v>0</v>
      </c>
      <c r="L5" s="127">
        <f t="shared" si="1"/>
        <v>10000000</v>
      </c>
      <c r="M5" s="127">
        <f t="shared" si="2"/>
        <v>10000000</v>
      </c>
    </row>
    <row r="6" spans="1:21" ht="16" thickBot="1" x14ac:dyDescent="0.25"/>
    <row r="7" spans="1:21" ht="16" thickBot="1" x14ac:dyDescent="0.25">
      <c r="A7" s="238"/>
      <c r="B7" s="425" t="s">
        <v>73</v>
      </c>
      <c r="C7" s="425"/>
      <c r="D7" s="425"/>
      <c r="E7" s="425"/>
      <c r="F7" s="425"/>
      <c r="G7" s="425"/>
      <c r="H7" s="425"/>
      <c r="I7" s="425"/>
      <c r="J7" s="426"/>
      <c r="K7" s="427" t="s">
        <v>70</v>
      </c>
      <c r="L7" s="428"/>
      <c r="M7" s="429"/>
      <c r="N7" s="428" t="s">
        <v>71</v>
      </c>
      <c r="O7" s="428"/>
      <c r="P7" s="429"/>
      <c r="Q7" s="428" t="s">
        <v>72</v>
      </c>
      <c r="R7" s="428"/>
      <c r="S7" s="429"/>
    </row>
    <row r="8" spans="1:21" x14ac:dyDescent="0.2">
      <c r="A8" s="239" t="s">
        <v>54</v>
      </c>
      <c r="B8" s="430" t="str">
        <f>IF(SUM(B2:B4)=0,"",
IF(OR(AND(K2&gt;K3,K2&gt;K4),
AND(K2=K3,K2&gt;K4,L2&gt;L3),AND(K2=K3,K2&gt;K4,L2=L3,M2&gt;M3),AND(K2=K3,K2&gt;K4,L2=L3,M2=M3,H2&gt;H3), AND(K2&gt;K3,K2=K4,L2&gt;L4),AND(K2&gt;K3,K2=K4,L2=L4,M2&gt;M4),AND(K2&gt;K3,K2=K4,L2=L4,M2=M4,H2&gt;H4),
AND(K2=K3,K2=K4,L2&gt;L3,L2&gt;L4),
AND(K2=K3,K2=K4,L2=L3,L2&gt;L4,M2&gt;M3), AND(K2=K3,K2=K4,L2=L3,L2&gt;L4,M2=M3,H2&gt;H3),
AND(K2=K3,K2=K4,L2&gt;L3,L2=L4,M2&gt;M4), AND(K2=K3,K2=K4,L2&gt;L3,L2=L4,M2=M4,H2&gt;H4),
AND(K2=K3,K2=K4,L2=L3,L2=L4,M2&gt;M3,M2&gt;M4), AND(K2=K3,K2=K4,L2=L3,L2=L4,M2=M3,M2&gt;M4,H2&gt;H3),
AND(K2=K3,K2=K4,L2=L3,L2=L4,M2&gt;M3,M2=M4,H2&gt;H4)
),
A2,
IF(OR(AND(K3&gt;K2,K3&gt;K4),
AND(K3=K2,K3&gt;K4,L3&gt;L2),AND(K3=K2,K3&gt;K4,L3=L2,M3&gt;M2),AND(K3=K2,K3&gt;K4,L3=L2,M3=M2,H3&gt;H2), AND(K3&gt;K2,K3=K4,L3&gt;L4),AND(K3&gt;K2,K3=K4,L3=L4,M3&gt;M4),AND(K3&gt;K2,K3=K4,L3=L4,M3=M4,H3&gt;H4),
AND(K3=K2,K3=K4,L3&gt;L2,L3&gt;L4),
AND(K2=K2,K3=K4,L3=L2,L3&gt;L4,M3&gt;M2), AND(K3=K2,K3=K4,L3=L2,L3&gt;L4,M3=M2,H3&gt;H2),
AND(K3=K2,K3=K4,L3&gt;L2,L3=L4,M3&gt;M4), AND(K3=K2,K3=K4,L3&gt;L2,L3=L4,M3=M4,H3&gt;H4),
AND(K3=K2,K3=K4,L3=L2,L3=L4,M3&gt;M2,M3&gt;M4), AND(K3=K2,K3=K4,L3=L2,L3=L4,M3=M2,M3&gt;M4,H3&gt;H2),
AND(K3=K2,K3=K4,L3=L2,L3=L4,M3&gt;M2,M3=M4,H3&gt;H4)
),
A3,
IF(OR(AND(K4&gt;K3,K4&gt;K2),
AND(K4=K3,K4&gt;K2,L4&gt;L3),AND(K4=K3,K4&gt;K2,L4=L3,M4&gt;M3),AND(K4=K3,K4&gt;K2,L4=L3,M4=M3,H4&gt;H3), AND(K4&gt;K3,K4=K2,L4&gt;L2),AND(K4&gt;K3,K4=K2,L4=L2,M4&gt;M2),AND(K4&gt;K3,K4=K2,L4=L2,M4=M2,H4&gt;H2),
AND(K4=K3,K4=K2,L4&gt;L3,L4&gt;L2),
AND(K4=K3,K4=K2,L4=L3,L4&gt;L2,M4&gt;M3), AND(K4=K3,K4=K2,L4=L3,L4&gt;L2,M4=M3,H4&gt;H3),
AND(K4=K3,K4=K2,L4&gt;L3,L4=L2,M4&gt;M2), AND(K4=K3,K4=K2,L4&gt;L3,L4=L2,M4=M2,H4&gt;H2),
AND(K4=K3,K4=K2,L4=L3,L4=L3,M4&gt;M3,M4&gt;M2), AND(K4=K3,K4=K2,L4=L3,L4=L2,M4=M3,M4&gt;M2,H4&gt;H3),
AND(K4=K3,K4=K2,L4=L3,L4=L2,M4&gt;M3,M4=M2,H4&gt;H2)
),
A4,A2
))))</f>
        <v/>
      </c>
      <c r="C8" s="430"/>
      <c r="D8" s="430"/>
      <c r="E8" s="430"/>
      <c r="F8" s="430"/>
      <c r="G8" s="430"/>
      <c r="H8" s="430"/>
      <c r="I8" s="430"/>
      <c r="J8" s="431"/>
      <c r="K8" s="432" t="str">
        <f>IF(B8="","",IF($B8=$A$2,B$2,IF($B8=$A$3,B$3,IF($B8=$A$4,B$4,0))))</f>
        <v/>
      </c>
      <c r="L8" s="433"/>
      <c r="M8" s="434"/>
      <c r="N8" s="240" t="str">
        <f>IF(B8="","",IF($B8=$A$2,E$2,IF($B8=$A$3,E$3,IF($B8=$A$4,E$4,0))))</f>
        <v/>
      </c>
      <c r="O8" s="241" t="s">
        <v>69</v>
      </c>
      <c r="P8" s="242" t="str">
        <f>IF(B8="","",IF($B8=$A$2,G$2,IF($B8=$A$3,G$3,IF($B8=$A$4,G$4,0))))</f>
        <v/>
      </c>
      <c r="Q8" s="240" t="str">
        <f>IF(B8="","",IF($B8=$A$2,H$2,IF($B8=$A$3,H$3,IF($B8=$A$4,H$4,0))))</f>
        <v/>
      </c>
      <c r="R8" s="241" t="s">
        <v>69</v>
      </c>
      <c r="S8" s="242" t="str">
        <f>IF(B8="","",IF($B8=$A$2,J$2,IF($B8=$A$3,J$3,IF($B8=$A$4,J$4,0))))</f>
        <v/>
      </c>
      <c r="T8" s="127" t="e">
        <f>IF(P8=0,100000000,N8/P8)</f>
        <v>#VALUE!</v>
      </c>
      <c r="U8" s="127" t="e">
        <f>IF(S8=0,100000000,Q8/S8)</f>
        <v>#VALUE!</v>
      </c>
    </row>
    <row r="9" spans="1:21" x14ac:dyDescent="0.2">
      <c r="A9" s="228" t="str">
        <f>IF(B8="","",IF(AND(K9=K8,T9=T8,U9=U8),A8,"2."))</f>
        <v/>
      </c>
      <c r="B9" s="415" t="str">
        <f>IF(OR(AND(B8=A2,B10=A3),AND(B8=A3,B10=A2)),A4,IF(OR(AND(B8=A2,B10=A4),AND(B8=A4,B10=A2)),A3,IF(OR(AND(B8=A3,B10=A4),AND(B8=A4,B10=A3)),A2,"")))</f>
        <v/>
      </c>
      <c r="C9" s="415"/>
      <c r="D9" s="415"/>
      <c r="E9" s="415"/>
      <c r="F9" s="415"/>
      <c r="G9" s="415"/>
      <c r="H9" s="415"/>
      <c r="I9" s="415"/>
      <c r="J9" s="416"/>
      <c r="K9" s="417" t="str">
        <f>IF(B9="","",IF($B9=$A$2,B$2,IF($B9=$A$3,B$3,IF($B9=$A$4,B$4,0))))</f>
        <v/>
      </c>
      <c r="L9" s="418"/>
      <c r="M9" s="419"/>
      <c r="N9" s="228" t="str">
        <f>IF(B9="","",IF($B9=$A$2,E$2,IF($B9=$A$3,E$3,IF($B9=$A$4,E$4,0))))</f>
        <v/>
      </c>
      <c r="O9" s="229" t="s">
        <v>69</v>
      </c>
      <c r="P9" s="230" t="str">
        <f>IF(B9="","",IF($B9=$A$2,G$2,IF($B9=$A$3,G$3,IF($B9=$A$4,G$4,0))))</f>
        <v/>
      </c>
      <c r="Q9" s="231" t="str">
        <f>IF(B9="","",IF($B9=$A$2,H$2,IF($B9=$A$3,H$3,IF($B9=$A$4,H$4,0))))</f>
        <v/>
      </c>
      <c r="R9" s="229" t="s">
        <v>69</v>
      </c>
      <c r="S9" s="227" t="str">
        <f>IF(B9="","",IF($B9=$A$2,J$2,IF($B9=$A$3,J$3,IF($B9=$A$4,J$4,0))))</f>
        <v/>
      </c>
      <c r="T9" s="127" t="e">
        <f t="shared" ref="T9:T10" si="3">IF(P9=0,100000000,N9/P9)</f>
        <v>#VALUE!</v>
      </c>
      <c r="U9" s="127" t="e">
        <f t="shared" ref="U9:U10" si="4">IF(S9=0,100000000,Q9/S9)</f>
        <v>#VALUE!</v>
      </c>
    </row>
    <row r="10" spans="1:21" ht="16" thickBot="1" x14ac:dyDescent="0.25">
      <c r="A10" s="233" t="str">
        <f>IF(B8="","",IF(AND(K10=K9,T10=T9,U10=U9),A9,"3."))</f>
        <v/>
      </c>
      <c r="B10" s="420" t="str">
        <f>IF(SUM(B2:B4)=0,"",
IF(OR(AND(K2&lt;K3,K2&lt;K4),
AND(K2=K3,K2&lt;K4,L2&lt;L3),AND(K2=K3,K2&lt;K4,L2=L3,M2&lt;M3),AND(K2=K3,K2&lt;K4,L2=L3,M2=M3,H2&lt;H3),AND(K2&lt;K3,K2=K4,L2&lt;L4),AND(K2&lt;K3,K2=K4,L2=L4,M2&lt;M4),AND(K2&lt;K3,K2=K4,L2=L4,M2=M4,H2&lt;H4),
AND(K2=K3,K2=K4,L2&lt;L3,L2&lt;L4),
AND(K2=K3,K2=K4,L2=L3,L2&lt;L4,M2&lt;M3),AND(K2=K3,K2=K4,L2=L3,L2&lt;L4,M2=M3,H2&lt;H3),
AND(K2=K3,K2=K4,L2&lt;L3,L2=L4,M2&lt;M4),AND(K2=K3,K2=K4,L2&lt;L3,L2=L4,M2=M4,H2&lt;H4),
AND(K2=K3,K2=K4,L2=L3,L2=L4,M2&lt;M3,M2&lt;M4),AND(K2=K3,K2=K4,L2=L3,L2=L4,M2=M3,M2&lt;M4,H2&lt;H3),
AND(K2=K3,K2=K4,L2=L3,L2=L4,M2&lt;M3,M2=M4,H2&lt;H4)
),
A2,
IF(OR(AND(K3&lt;K2,K3&lt;K4),
AND(K3=K2,K3&lt;K4,L3&lt;L2),AND(K3=K2,K3&lt;K4,L3=L2,M3&lt;M2),AND(K3=K2,K3&lt;K4,L3=L2,M3=M2,H3&lt;H2),AND(K3&lt;K2,K3=K4,L3&lt;L4),AND(K3&lt;K2,K3=K4,L3=L4,M3&lt;M4),AND(K3&lt;K2,K3=K4,L3=L4,M3=M4,H3&lt;H4),
AND(K3=K2,K3=K4,L3&lt;L2,L3&lt;L4),
AND(K2=K2,K3=K4,L3=L2,L3&lt;L4,M3&lt;M2),AND(K3=K2,K3=K4,L3=L2,L3&lt;L4,M3=M2,H3&lt;H2),
AND(K3=K2,K3=K4,L3&lt;L2,L3=L4,M3&lt;M4),AND(K3=K2,K3=K4,L3&lt;L2,L3=L4,M3=M4,H3&lt;H4),
AND(K3=K2,K3=K4,L3=L2,L3=L4,M3&lt;M2,M3&lt;M4),AND(K3=K2,K3=K4,L3=L2,L3=L4,M3=M2,M3&lt;M4,H3&lt;H2),
AND(K3=K2,K3=K4,L3=L2,L3=L4,M3&lt;M2,M3=M4,H3&lt;H4)
),
A3,
IF(OR(AND(K4&lt;K3,K4&lt;K2),
AND(K4=K3,K4&lt;K2,L4&lt;L3),AND(K4=K3,K4&lt;K2,L4=L3,M4&lt;M3),AND(K4=K3,K4&lt;K2,L4=L3,M4=M3,H4&lt;H3),AND(K4&lt;K3,K4=K2,L4&lt;L2),AND(K4&lt;K3,K4=K2,L4=L2,M4&lt;M2),AND(K4&lt;K3,K4=K2,L4=L2,M4=M2,H4&lt;H2),
AND(K4=K3,K4=K2,L4&lt;L3,L4&lt;L2),
AND(K4=K3,K4=K2,L4=L3,L4&lt;L2,M4&lt;M3),AND(K4=K3,K4=K2,L4=L3,L4&lt;L2,M4=M3,H4&lt;H3),
AND(K4=K3,K4=K2,L4&lt;L3,L4=L2,M4&lt;M2),AND(K4=K3,K4=K2,L4&lt;L3,L4=L2,M4=M2,H4&lt;H2),
AND(K4=K3,K4=K2,L4=L3,L4=L3,M4&lt;M3,M4&lt;M2),AND(K4=K3,K4=K2,L4=L3,L4=L2,M4=M3,M4&lt;M2,H4&lt;H3),
AND(K4=K3,K4=K2,L4=L3,L4=L2,M4&lt;M3,M4=M2,H4&lt;H2)
),
A4,A4
))))</f>
        <v/>
      </c>
      <c r="C10" s="420"/>
      <c r="D10" s="420"/>
      <c r="E10" s="420"/>
      <c r="F10" s="420"/>
      <c r="G10" s="420"/>
      <c r="H10" s="420"/>
      <c r="I10" s="420"/>
      <c r="J10" s="421"/>
      <c r="K10" s="422" t="str">
        <f>IF(B10="","",IF($B10=$A$2,B$2,IF($B10=$A$3,B$3,IF($B10=$A$4,B$4,0))))</f>
        <v/>
      </c>
      <c r="L10" s="423"/>
      <c r="M10" s="424"/>
      <c r="N10" s="233" t="str">
        <f>IF(B10="","",IF($B10=$A$2,E$2,IF($B10=$A$3,E$3,IF($B10=$A$4,E$4,0))))</f>
        <v/>
      </c>
      <c r="O10" s="234" t="s">
        <v>69</v>
      </c>
      <c r="P10" s="235" t="str">
        <f>IF(B10="","",IF($B10=$A$2,G$2,IF($B10=$A$3,G$3,IF($B10=$A$4,G$4,0))))</f>
        <v/>
      </c>
      <c r="Q10" s="236" t="str">
        <f>IF(B10="","",IF($B10=$A$2,H$2,IF($B10=$A$3,H$3,IF($B10=$A$4,H$4,0))))</f>
        <v/>
      </c>
      <c r="R10" s="234" t="s">
        <v>69</v>
      </c>
      <c r="S10" s="237" t="str">
        <f>IF(B10="","",IF($B10=$A$2,J$2,IF($B10=$A$3,J$3,IF($B10=$A$4,J$4,0))))</f>
        <v/>
      </c>
      <c r="T10" s="127" t="e">
        <f t="shared" si="3"/>
        <v>#VALUE!</v>
      </c>
      <c r="U10" s="127" t="e">
        <f t="shared" si="4"/>
        <v>#VALUE!</v>
      </c>
    </row>
  </sheetData>
  <mergeCells count="17">
    <mergeCell ref="N7:P7"/>
    <mergeCell ref="Q7:S7"/>
    <mergeCell ref="B8:J8"/>
    <mergeCell ref="K8:M8"/>
    <mergeCell ref="B1:D1"/>
    <mergeCell ref="E1:G1"/>
    <mergeCell ref="H1:J1"/>
    <mergeCell ref="B2:D2"/>
    <mergeCell ref="B3:D3"/>
    <mergeCell ref="B4:D4"/>
    <mergeCell ref="B9:J9"/>
    <mergeCell ref="K9:M9"/>
    <mergeCell ref="B10:J10"/>
    <mergeCell ref="K10:M10"/>
    <mergeCell ref="B5:D5"/>
    <mergeCell ref="B7:J7"/>
    <mergeCell ref="K7:M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49CC-D07A-A245-8CFF-E486D9FF7F66}">
  <dimension ref="A1:U10"/>
  <sheetViews>
    <sheetView workbookViewId="0">
      <selection activeCell="A7" sqref="A7:S10"/>
    </sheetView>
  </sheetViews>
  <sheetFormatPr baseColWidth="10" defaultRowHeight="15" x14ac:dyDescent="0.2"/>
  <cols>
    <col min="1" max="1" width="16.1640625" customWidth="1"/>
    <col min="2" max="2" width="4.6640625" customWidth="1"/>
    <col min="3" max="3" width="1.6640625" bestFit="1" customWidth="1"/>
    <col min="4" max="5" width="4.6640625" customWidth="1"/>
    <col min="6" max="6" width="1.6640625" bestFit="1" customWidth="1"/>
    <col min="7" max="8" width="4.6640625" customWidth="1"/>
    <col min="9" max="9" width="1.6640625" bestFit="1" customWidth="1"/>
    <col min="10" max="10" width="4.6640625" customWidth="1"/>
    <col min="11" max="11" width="5" customWidth="1"/>
    <col min="12" max="12" width="3.33203125" customWidth="1"/>
    <col min="13" max="13" width="4.6640625" customWidth="1"/>
    <col min="14" max="14" width="5" customWidth="1"/>
    <col min="15" max="15" width="1.6640625" bestFit="1" customWidth="1"/>
    <col min="16" max="16" width="4.83203125" customWidth="1"/>
    <col min="17" max="17" width="5.1640625" customWidth="1"/>
    <col min="18" max="18" width="1.6640625" bestFit="1" customWidth="1"/>
    <col min="19" max="19" width="5.6640625" customWidth="1"/>
  </cols>
  <sheetData>
    <row r="1" spans="1:21" x14ac:dyDescent="0.2">
      <c r="A1" s="157" t="s">
        <v>73</v>
      </c>
      <c r="B1" s="313" t="s">
        <v>70</v>
      </c>
      <c r="C1" s="314"/>
      <c r="D1" s="316"/>
      <c r="E1" s="314" t="s">
        <v>71</v>
      </c>
      <c r="F1" s="314"/>
      <c r="G1" s="316"/>
      <c r="H1" s="314" t="s">
        <v>72</v>
      </c>
      <c r="I1" s="314"/>
      <c r="J1" s="316"/>
      <c r="K1" s="127" t="s">
        <v>76</v>
      </c>
      <c r="L1" s="127" t="s">
        <v>74</v>
      </c>
      <c r="M1" s="127" t="s">
        <v>75</v>
      </c>
    </row>
    <row r="2" spans="1:21" x14ac:dyDescent="0.2">
      <c r="A2" s="158" t="str">
        <f>Spielplan!C9</f>
        <v>VoR Paderborn</v>
      </c>
      <c r="B2" s="397">
        <f>IF(Spielplan!Q18&gt;Spielplan!S18,2,IF(AND(Spielplan!Q18&gt;0,Spielplan!Q18=Spielplan!S18),1,0))+IF(Spielplan!Q26&gt;Spielplan!S26,2,IF(AND(Spielplan!Q26&gt;0,Spielplan!Q26=Spielplan!S26),1,0))</f>
        <v>0</v>
      </c>
      <c r="C2" s="398"/>
      <c r="D2" s="399"/>
      <c r="E2" s="159">
        <f>Spielplan!Q18+Spielplan!Q26</f>
        <v>0</v>
      </c>
      <c r="F2" s="222" t="s">
        <v>69</v>
      </c>
      <c r="G2" s="160">
        <f>Spielplan!S18+Spielplan!S26</f>
        <v>0</v>
      </c>
      <c r="H2" s="159">
        <f>Spielplan!T18+Spielplan!W18+Spielplan!Z18+Spielplan!T26+Spielplan!W26+Spielplan!Z26</f>
        <v>0</v>
      </c>
      <c r="I2" s="222" t="s">
        <v>69</v>
      </c>
      <c r="J2" s="160">
        <f>Spielplan!V18+Spielplan!Y18+Spielplan!AB18+Spielplan!V26+Spielplan!Y26+Spielplan!AB26</f>
        <v>0</v>
      </c>
      <c r="K2" s="127">
        <f>B2</f>
        <v>0</v>
      </c>
      <c r="L2" s="127">
        <f>IF(G2=0,10000000,E2/G2)</f>
        <v>10000000</v>
      </c>
      <c r="M2" s="127">
        <f>IF(J2=0,10000000,H2/J2)</f>
        <v>10000000</v>
      </c>
    </row>
    <row r="3" spans="1:21" x14ac:dyDescent="0.2">
      <c r="A3" s="158" t="str">
        <f>Spielplan!C10</f>
        <v>RC Borken-Hoxfeld</v>
      </c>
      <c r="B3" s="397">
        <f>IF(Spielplan!Q22&gt;Spielplan!S22,2,IF(AND(Spielplan!Q22&gt;0,Spielplan!Q22=Spielplan!S22),1,0))+IF(Spielplan!S26&gt;Spielplan!Q26,2,IF(AND(Spielplan!S26&gt;0,Spielplan!S26=Spielplan!Q26),1,0))</f>
        <v>0</v>
      </c>
      <c r="C3" s="398"/>
      <c r="D3" s="399"/>
      <c r="E3" s="161">
        <f>Spielplan!Q22+Spielplan!S26</f>
        <v>0</v>
      </c>
      <c r="F3" s="162" t="s">
        <v>69</v>
      </c>
      <c r="G3" s="163">
        <f>Spielplan!S22+Spielplan!Q26</f>
        <v>0</v>
      </c>
      <c r="H3" s="164">
        <f>Spielplan!T22+Spielplan!W22+Spielplan!Z22+Spielplan!V26+Spielplan!Y26+Spielplan!AB26</f>
        <v>0</v>
      </c>
      <c r="I3" s="162" t="s">
        <v>69</v>
      </c>
      <c r="J3" s="160">
        <f>Spielplan!V22+Spielplan!Y22+Spielplan!AB22+Spielplan!T26+Spielplan!W26+Spielplan!Z26</f>
        <v>0</v>
      </c>
      <c r="K3" s="127">
        <f t="shared" ref="K3:K5" si="0">B3</f>
        <v>0</v>
      </c>
      <c r="L3" s="127">
        <f t="shared" ref="L3:L5" si="1">IF(G3=0,10000000,E3/G3)</f>
        <v>10000000</v>
      </c>
      <c r="M3" s="127">
        <f t="shared" ref="M3:M5" si="2">IF(J3=0,10000000,H3/J3)</f>
        <v>10000000</v>
      </c>
    </row>
    <row r="4" spans="1:21" ht="16" thickBot="1" x14ac:dyDescent="0.25">
      <c r="A4" s="165" t="str">
        <f>Spielplan!C11</f>
        <v>SC GW Paderborn</v>
      </c>
      <c r="B4" s="402">
        <f>IF(Spielplan!S18&gt;Spielplan!Q18,2,IF(AND(Spielplan!S18&gt;0,Spielplan!S18=Spielplan!Q18),1,0))+IF(Spielplan!S22&gt;Spielplan!Q22,2,IF(AND(Spielplan!S22&gt;0,Spielplan!S22=Spielplan!Q22),1,0))</f>
        <v>0</v>
      </c>
      <c r="C4" s="403"/>
      <c r="D4" s="404"/>
      <c r="E4" s="166">
        <f>Spielplan!S18+Spielplan!S22</f>
        <v>0</v>
      </c>
      <c r="F4" s="167" t="s">
        <v>69</v>
      </c>
      <c r="G4" s="168">
        <f>Spielplan!Q18+Spielplan!Q22</f>
        <v>0</v>
      </c>
      <c r="H4" s="169">
        <f>Spielplan!V18+Spielplan!Y18+Spielplan!AB18+Spielplan!V22+Spielplan!Y22+Spielplan!AB22</f>
        <v>0</v>
      </c>
      <c r="I4" s="167" t="s">
        <v>69</v>
      </c>
      <c r="J4" s="170">
        <f>Spielplan!T18+Spielplan!W18+Spielplan!Z18+Spielplan!T22+Spielplan!W22+Spielplan!Z22</f>
        <v>0</v>
      </c>
      <c r="K4" s="127">
        <f t="shared" si="0"/>
        <v>0</v>
      </c>
      <c r="L4" s="127">
        <f t="shared" si="1"/>
        <v>10000000</v>
      </c>
      <c r="M4" s="127">
        <f t="shared" si="2"/>
        <v>10000000</v>
      </c>
    </row>
    <row r="5" spans="1:21" x14ac:dyDescent="0.2">
      <c r="A5" s="146"/>
      <c r="B5" s="378"/>
      <c r="C5" s="378"/>
      <c r="D5" s="378"/>
      <c r="E5" s="147"/>
      <c r="F5" s="148"/>
      <c r="G5" s="149"/>
      <c r="H5" s="150"/>
      <c r="I5" s="148"/>
      <c r="J5" s="151"/>
      <c r="K5" s="127">
        <f t="shared" si="0"/>
        <v>0</v>
      </c>
      <c r="L5" s="127">
        <f t="shared" si="1"/>
        <v>10000000</v>
      </c>
      <c r="M5" s="127">
        <f t="shared" si="2"/>
        <v>10000000</v>
      </c>
    </row>
    <row r="6" spans="1:21" ht="16" thickBot="1" x14ac:dyDescent="0.25"/>
    <row r="7" spans="1:21" ht="16" thickBot="1" x14ac:dyDescent="0.25">
      <c r="A7" s="171"/>
      <c r="B7" s="405" t="s">
        <v>73</v>
      </c>
      <c r="C7" s="405"/>
      <c r="D7" s="405"/>
      <c r="E7" s="405"/>
      <c r="F7" s="405"/>
      <c r="G7" s="405"/>
      <c r="H7" s="405"/>
      <c r="I7" s="405"/>
      <c r="J7" s="406"/>
      <c r="K7" s="407" t="s">
        <v>70</v>
      </c>
      <c r="L7" s="408"/>
      <c r="M7" s="409"/>
      <c r="N7" s="408" t="s">
        <v>71</v>
      </c>
      <c r="O7" s="408"/>
      <c r="P7" s="409"/>
      <c r="Q7" s="408" t="s">
        <v>72</v>
      </c>
      <c r="R7" s="408"/>
      <c r="S7" s="409"/>
    </row>
    <row r="8" spans="1:21" x14ac:dyDescent="0.2">
      <c r="A8" s="172" t="s">
        <v>54</v>
      </c>
      <c r="B8" s="410" t="str">
        <f>IF(SUM(B2:B4)=0,"",
IF(OR(AND(K2&gt;K3,K2&gt;K4),
AND(K2=K3,K2&gt;K4,L2&gt;L3),AND(K2=K3,K2&gt;K4,L2=L3,M2&gt;M3),AND(K2=K3,K2&gt;K4,L2=L3,M2=M3,H2&gt;H3), AND(K2&gt;K3,K2=K4,L2&gt;L4),AND(K2&gt;K3,K2=K4,L2=L4,M2&gt;M4),AND(K2&gt;K3,K2=K4,L2=L4,M2=M4,H2&gt;H4),
AND(K2=K3,K2=K4,L2&gt;L3,L2&gt;L4),
AND(K2=K3,K2=K4,L2=L3,L2&gt;L4,M2&gt;M3), AND(K2=K3,K2=K4,L2=L3,L2&gt;L4,M2=M3,H2&gt;H3),
AND(K2=K3,K2=K4,L2&gt;L3,L2=L4,M2&gt;M4), AND(K2=K3,K2=K4,L2&gt;L3,L2=L4,M2=M4,H2&gt;H4),
AND(K2=K3,K2=K4,L2=L3,L2=L4,M2&gt;M3,M2&gt;M4), AND(K2=K3,K2=K4,L2=L3,L2=L4,M2=M3,M2&gt;M4,H2&gt;H3),
AND(K2=K3,K2=K4,L2=L3,L2=L4,M2&gt;M3,M2=M4,H2&gt;H4)
),
A2,
IF(OR(AND(K3&gt;K2,K3&gt;K4),
AND(K3=K2,K3&gt;K4,L3&gt;L2),AND(K3=K2,K3&gt;K4,L3=L2,M3&gt;M2),AND(K3=K2,K3&gt;K4,L3=L2,M3=M2,H3&gt;H2), AND(K3&gt;K2,K3=K4,L3&gt;L4),AND(K3&gt;K2,K3=K4,L3=L4,M3&gt;M4),AND(K3&gt;K2,K3=K4,L3=L4,M3=M4,H3&gt;H4),
AND(K3=K2,K3=K4,L3&gt;L2,L3&gt;L4),
AND(K2=K2,K3=K4,L3=L2,L3&gt;L4,M3&gt;M2), AND(K3=K2,K3=K4,L3=L2,L3&gt;L4,M3=M2,H3&gt;H2),
AND(K3=K2,K3=K4,L3&gt;L2,L3=L4,M3&gt;M4), AND(K3=K2,K3=K4,L3&gt;L2,L3=L4,M3=M4,H3&gt;H4),
AND(K3=K2,K3=K4,L3=L2,L3=L4,M3&gt;M2,M3&gt;M4), AND(K3=K2,K3=K4,L3=L2,L3=L4,M3=M2,M3&gt;M4,H3&gt;H2),
AND(K3=K2,K3=K4,L3=L2,L3=L4,M3&gt;M2,M3=M4,H3&gt;H4)
),
A3,
IF(OR(AND(K4&gt;K3,K4&gt;K2),
AND(K4=K3,K4&gt;K2,L4&gt;L3),AND(K4=K3,K4&gt;K2,L4=L3,M4&gt;M3),AND(K4=K3,K4&gt;K2,L4=L3,M4=M3,H4&gt;H3), AND(K4&gt;K3,K4=K2,L4&gt;L2),AND(K4&gt;K3,K4=K2,L4=L2,M4&gt;M2),AND(K4&gt;K3,K4=K2,L4=L2,M4=M2,H4&gt;H2),
AND(K4=K3,K4=K2,L4&gt;L3,L4&gt;L2),
AND(K4=K3,K4=K2,L4=L3,L4&gt;L2,M4&gt;M3), AND(K4=K3,K4=K2,L4=L3,L4&gt;L2,M4=M3,H4&gt;H3),
AND(K4=K3,K4=K2,L4&gt;L3,L4=L2,M4&gt;M2), AND(K4=K3,K4=K2,L4&gt;L3,L4=L2,M4=M2,H4&gt;H2),
AND(K4=K3,K4=K2,L4=L3,L4=L3,M4&gt;M3,M4&gt;M2), AND(K4=K3,K4=K2,L4=L3,L4=L2,M4=M3,M4&gt;M2,H4&gt;H3),
AND(K4=K3,K4=K2,L4=L3,L4=L2,M4&gt;M3,M4=M2,H4&gt;H2)
),
A4,A2
))))</f>
        <v/>
      </c>
      <c r="C8" s="410"/>
      <c r="D8" s="410"/>
      <c r="E8" s="410"/>
      <c r="F8" s="410"/>
      <c r="G8" s="410"/>
      <c r="H8" s="410"/>
      <c r="I8" s="410"/>
      <c r="J8" s="411"/>
      <c r="K8" s="412" t="str">
        <f>IF(B8="","",IF($B8=$A$2,B$2,IF($B8=$A$3,B$3,IF($B8=$A$4,B$4,0))))</f>
        <v/>
      </c>
      <c r="L8" s="413"/>
      <c r="M8" s="414"/>
      <c r="N8" s="173" t="str">
        <f>IF(B8="","",IF($B8=$A$2,E$2,IF($B8=$A$3,E$3,IF($B8=$A$4,E$4,0))))</f>
        <v/>
      </c>
      <c r="O8" s="221" t="s">
        <v>69</v>
      </c>
      <c r="P8" s="174" t="str">
        <f>IF(B8="","",IF($B8=$A$2,G$2,IF($B8=$A$3,G$3,IF($B8=$A$4,G$4,0))))</f>
        <v/>
      </c>
      <c r="Q8" s="173" t="str">
        <f>IF(B8="","",IF($B8=$A$2,H$2,IF($B8=$A$3,H$3,IF($B8=$A$4,H$4,0))))</f>
        <v/>
      </c>
      <c r="R8" s="221" t="s">
        <v>69</v>
      </c>
      <c r="S8" s="174" t="str">
        <f>IF(B8="","",IF($B8=$A$2,J$2,IF($B8=$A$3,J$3,IF($B8=$A$4,J$4,0))))</f>
        <v/>
      </c>
      <c r="T8" s="127" t="e">
        <f>IF(P8=0,100000000,N8/P8)</f>
        <v>#VALUE!</v>
      </c>
      <c r="U8" s="127" t="e">
        <f>IF(S8=0,100000000,Q8/S8)</f>
        <v>#VALUE!</v>
      </c>
    </row>
    <row r="9" spans="1:21" x14ac:dyDescent="0.2">
      <c r="A9" s="161" t="str">
        <f>IF(B8="","",IF(AND(K9=K8,T9=T8,U9=U8),A8,"2."))</f>
        <v/>
      </c>
      <c r="B9" s="395" t="str">
        <f>IF(OR(AND(B8=A2,B10=A3),AND(B8=A3,B10=A2)),A4,IF(OR(AND(B8=A2,B10=A4),AND(B8=A4,B10=A2)),A3,IF(OR(AND(B8=A3,B10=A4),AND(B8=A4,B10=A3)),A2,"")))</f>
        <v/>
      </c>
      <c r="C9" s="395"/>
      <c r="D9" s="395"/>
      <c r="E9" s="395"/>
      <c r="F9" s="395"/>
      <c r="G9" s="395"/>
      <c r="H9" s="395"/>
      <c r="I9" s="395"/>
      <c r="J9" s="396"/>
      <c r="K9" s="397" t="str">
        <f>IF(B9="","",IF($B9=$A$2,B$2,IF($B9=$A$3,B$3,IF($B9=$A$4,B$4,0))))</f>
        <v/>
      </c>
      <c r="L9" s="398"/>
      <c r="M9" s="399"/>
      <c r="N9" s="161" t="str">
        <f>IF(B9="","",IF($B9=$A$2,E$2,IF($B9=$A$3,E$3,IF($B9=$A$4,E$4,0))))</f>
        <v/>
      </c>
      <c r="O9" s="162" t="s">
        <v>69</v>
      </c>
      <c r="P9" s="163" t="str">
        <f>IF(B9="","",IF($B9=$A$2,G$2,IF($B9=$A$3,G$3,IF($B9=$A$4,G$4,0))))</f>
        <v/>
      </c>
      <c r="Q9" s="164" t="str">
        <f>IF(B9="","",IF($B9=$A$2,H$2,IF($B9=$A$3,H$3,IF($B9=$A$4,H$4,0))))</f>
        <v/>
      </c>
      <c r="R9" s="162" t="s">
        <v>69</v>
      </c>
      <c r="S9" s="160" t="str">
        <f>IF(B9="","",IF($B9=$A$2,J$2,IF($B9=$A$3,J$3,IF($B9=$A$4,J$4,0))))</f>
        <v/>
      </c>
      <c r="T9" s="127" t="e">
        <f t="shared" ref="T9:T10" si="3">IF(P9=0,100000000,N9/P9)</f>
        <v>#VALUE!</v>
      </c>
      <c r="U9" s="127" t="e">
        <f t="shared" ref="U9:U10" si="4">IF(S9=0,100000000,Q9/S9)</f>
        <v>#VALUE!</v>
      </c>
    </row>
    <row r="10" spans="1:21" ht="16" thickBot="1" x14ac:dyDescent="0.25">
      <c r="A10" s="166" t="str">
        <f>IF(B8="","",IF(AND(K10=K9,T10=T9,U10=U9),A9,"3."))</f>
        <v/>
      </c>
      <c r="B10" s="400" t="str">
        <f>IF(SUM(B2:B4)=0,"",
IF(OR(AND(K2&lt;K3,K2&lt;K4),
AND(K2=K3,K2&lt;K4,L2&lt;L3),AND(K2=K3,K2&lt;K4,L2=L3,M2&lt;M3),AND(K2=K3,K2&lt;K4,L2=L3,M2=M3,H2&lt;H3),AND(K2&lt;K3,K2=K4,L2&lt;L4),AND(K2&lt;K3,K2=K4,L2=L4,M2&lt;M4),AND(K2&lt;K3,K2=K4,L2=L4,M2=M4,H2&lt;H4),
AND(K2=K3,K2=K4,L2&lt;L3,L2&lt;L4),
AND(K2=K3,K2=K4,L2=L3,L2&lt;L4,M2&lt;M3),AND(K2=K3,K2=K4,L2=L3,L2&lt;L4,M2=M3,H2&lt;H3),
AND(K2=K3,K2=K4,L2&lt;L3,L2=L4,M2&lt;M4),AND(K2=K3,K2=K4,L2&lt;L3,L2=L4,M2=M4,H2&lt;H4),
AND(K2=K3,K2=K4,L2=L3,L2=L4,M2&lt;M3,M2&lt;M4),AND(K2=K3,K2=K4,L2=L3,L2=L4,M2=M3,M2&lt;M4,H2&lt;H3),
AND(K2=K3,K2=K4,L2=L3,L2=L4,M2&lt;M3,M2=M4,H2&lt;H4)
),
A2,
IF(OR(AND(K3&lt;K2,K3&lt;K4),
AND(K3=K2,K3&lt;K4,L3&lt;L2),AND(K3=K2,K3&lt;K4,L3=L2,M3&lt;M2),AND(K3=K2,K3&lt;K4,L3=L2,M3=M2,H3&lt;H2),AND(K3&lt;K2,K3=K4,L3&lt;L4),AND(K3&lt;K2,K3=K4,L3=L4,M3&lt;M4),AND(K3&lt;K2,K3=K4,L3=L4,M3=M4,H3&lt;H4),
AND(K3=K2,K3=K4,L3&lt;L2,L3&lt;L4),
AND(K2=K2,K3=K4,L3=L2,L3&lt;L4,M3&lt;M2),AND(K3=K2,K3=K4,L3=L2,L3&lt;L4,M3=M2,H3&lt;H2),
AND(K3=K2,K3=K4,L3&lt;L2,L3=L4,M3&lt;M4),AND(K3=K2,K3=K4,L3&lt;L2,L3=L4,M3=M4,H3&lt;H4),
AND(K3=K2,K3=K4,L3=L2,L3=L4,M3&lt;M2,M3&lt;M4),AND(K3=K2,K3=K4,L3=L2,L3=L4,M3=M2,M3&lt;M4,H3&lt;H2),
AND(K3=K2,K3=K4,L3=L2,L3=L4,M3&lt;M2,M3=M4,H3&lt;H4)
),
A3,
IF(OR(AND(K4&lt;K3,K4&lt;K2),
AND(K4=K3,K4&lt;K2,L4&lt;L3),AND(K4=K3,K4&lt;K2,L4=L3,M4&lt;M3),AND(K4=K3,K4&lt;K2,L4=L3,M4=M3,H4&lt;H3),AND(K4&lt;K3,K4=K2,L4&lt;L2),AND(K4&lt;K3,K4=K2,L4=L2,M4&lt;M2),AND(K4&lt;K3,K4=K2,L4=L2,M4=M2,H4&lt;H2),
AND(K4=K3,K4=K2,L4&lt;L3,L4&lt;L2),
AND(K4=K3,K4=K2,L4=L3,L4&lt;L2,M4&lt;M3),AND(K4=K3,K4=K2,L4=L3,L4&lt;L2,M4=M3,H4&lt;H3),
AND(K4=K3,K4=K2,L4&lt;L3,L4=L2,M4&lt;M2),AND(K4=K3,K4=K2,L4&lt;L3,L4=L2,M4=M2,H4&lt;H2),
AND(K4=K3,K4=K2,L4=L3,L4=L3,M4&lt;M3,M4&lt;M2),AND(K4=K3,K4=K2,L4=L3,L4=L2,M4=M3,M4&lt;M2,H4&lt;H3),
AND(K4=K3,K4=K2,L4=L3,L4=L2,M4&lt;M3,M4=M2,H4&lt;H2)
),
A4,A4
))))</f>
        <v/>
      </c>
      <c r="C10" s="400"/>
      <c r="D10" s="400"/>
      <c r="E10" s="400"/>
      <c r="F10" s="400"/>
      <c r="G10" s="400"/>
      <c r="H10" s="400"/>
      <c r="I10" s="400"/>
      <c r="J10" s="401"/>
      <c r="K10" s="402" t="str">
        <f>IF(B10="","",IF($B10=$A$2,B$2,IF($B10=$A$3,B$3,IF($B10=$A$4,B$4,0))))</f>
        <v/>
      </c>
      <c r="L10" s="403"/>
      <c r="M10" s="404"/>
      <c r="N10" s="166" t="str">
        <f>IF(B10="","",IF($B10=$A$2,E$2,IF($B10=$A$3,E$3,IF($B10=$A$4,E$4,0))))</f>
        <v/>
      </c>
      <c r="O10" s="167" t="s">
        <v>69</v>
      </c>
      <c r="P10" s="168" t="str">
        <f>IF(B10="","",IF($B10=$A$2,G$2,IF($B10=$A$3,G$3,IF($B10=$A$4,G$4,0))))</f>
        <v/>
      </c>
      <c r="Q10" s="169" t="str">
        <f>IF(B10="","",IF($B10=$A$2,H$2,IF($B10=$A$3,H$3,IF($B10=$A$4,H$4,0))))</f>
        <v/>
      </c>
      <c r="R10" s="167" t="s">
        <v>69</v>
      </c>
      <c r="S10" s="170" t="str">
        <f>IF(B10="","",IF($B10=$A$2,J$2,IF($B10=$A$3,J$3,IF($B10=$A$4,J$4,0))))</f>
        <v/>
      </c>
      <c r="T10" s="127" t="e">
        <f t="shared" si="3"/>
        <v>#VALUE!</v>
      </c>
      <c r="U10" s="127" t="e">
        <f t="shared" si="4"/>
        <v>#VALUE!</v>
      </c>
    </row>
  </sheetData>
  <mergeCells count="17">
    <mergeCell ref="N7:P7"/>
    <mergeCell ref="Q7:S7"/>
    <mergeCell ref="B8:J8"/>
    <mergeCell ref="K8:M8"/>
    <mergeCell ref="B1:D1"/>
    <mergeCell ref="E1:G1"/>
    <mergeCell ref="H1:J1"/>
    <mergeCell ref="B2:D2"/>
    <mergeCell ref="B3:D3"/>
    <mergeCell ref="B4:D4"/>
    <mergeCell ref="B9:J9"/>
    <mergeCell ref="K9:M9"/>
    <mergeCell ref="B10:J10"/>
    <mergeCell ref="K10:M10"/>
    <mergeCell ref="B5:D5"/>
    <mergeCell ref="B7:J7"/>
    <mergeCell ref="K7:M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DD5D9-9C8A-2548-BFA5-D5F54AEE0A3A}">
  <dimension ref="A1:U10"/>
  <sheetViews>
    <sheetView workbookViewId="0">
      <selection activeCell="B5" sqref="B5:D5"/>
    </sheetView>
  </sheetViews>
  <sheetFormatPr baseColWidth="10" defaultRowHeight="15" x14ac:dyDescent="0.2"/>
  <cols>
    <col min="1" max="1" width="16.1640625" customWidth="1"/>
    <col min="2" max="2" width="4.6640625" customWidth="1"/>
    <col min="3" max="3" width="1.6640625" bestFit="1" customWidth="1"/>
    <col min="4" max="5" width="4.6640625" customWidth="1"/>
    <col min="6" max="6" width="1.6640625" bestFit="1" customWidth="1"/>
    <col min="7" max="8" width="4.6640625" customWidth="1"/>
    <col min="9" max="9" width="1.6640625" bestFit="1" customWidth="1"/>
    <col min="10" max="10" width="4.6640625" customWidth="1"/>
    <col min="11" max="11" width="5" customWidth="1"/>
    <col min="12" max="12" width="3.33203125" customWidth="1"/>
    <col min="13" max="13" width="4.6640625" customWidth="1"/>
    <col min="14" max="14" width="5" customWidth="1"/>
    <col min="15" max="15" width="1.6640625" bestFit="1" customWidth="1"/>
    <col min="16" max="16" width="4.83203125" customWidth="1"/>
    <col min="17" max="17" width="5.1640625" customWidth="1"/>
    <col min="18" max="18" width="1.6640625" bestFit="1" customWidth="1"/>
    <col min="19" max="19" width="5.6640625" customWidth="1"/>
  </cols>
  <sheetData>
    <row r="1" spans="1:21" x14ac:dyDescent="0.2">
      <c r="A1" s="175" t="s">
        <v>73</v>
      </c>
      <c r="B1" s="320" t="s">
        <v>70</v>
      </c>
      <c r="C1" s="318"/>
      <c r="D1" s="321"/>
      <c r="E1" s="318" t="s">
        <v>71</v>
      </c>
      <c r="F1" s="318"/>
      <c r="G1" s="321"/>
      <c r="H1" s="318" t="s">
        <v>72</v>
      </c>
      <c r="I1" s="318"/>
      <c r="J1" s="321"/>
      <c r="K1" s="127" t="s">
        <v>76</v>
      </c>
      <c r="L1" s="127" t="s">
        <v>74</v>
      </c>
      <c r="M1" s="127" t="s">
        <v>75</v>
      </c>
    </row>
    <row r="2" spans="1:21" x14ac:dyDescent="0.2">
      <c r="A2" s="176" t="str">
        <f>Spielplan!P9</f>
        <v>VV Schwerte</v>
      </c>
      <c r="B2" s="437">
        <f>IF(Spielplan!Q19&gt;Spielplan!S19,2,IF(AND(Spielplan!Q19&gt;0,Spielplan!Q19=Spielplan!S19),1,0))+IF(Spielplan!Q27&gt;Spielplan!S27,2,IF(AND(Spielplan!Q27&gt;0,Spielplan!Q27=Spielplan!S27),1,0))</f>
        <v>0</v>
      </c>
      <c r="C2" s="438"/>
      <c r="D2" s="439"/>
      <c r="E2" s="177">
        <f>Spielplan!Q19+Spielplan!Q27</f>
        <v>0</v>
      </c>
      <c r="F2" s="178" t="s">
        <v>69</v>
      </c>
      <c r="G2" s="179">
        <f>Spielplan!S19+Spielplan!S27</f>
        <v>0</v>
      </c>
      <c r="H2" s="177">
        <f>Spielplan!T19+Spielplan!W19+Spielplan!Z19+Spielplan!T27+Spielplan!W27+Spielplan!Z27</f>
        <v>0</v>
      </c>
      <c r="I2" s="178" t="s">
        <v>69</v>
      </c>
      <c r="J2" s="179">
        <f>Spielplan!V19+Spielplan!Y19+Spielplan!AB19+Spielplan!V27+Spielplan!Y27+Spielplan!AB27</f>
        <v>0</v>
      </c>
      <c r="K2" s="127">
        <f>B2</f>
        <v>0</v>
      </c>
      <c r="L2" s="127">
        <f>IF(G2=0,10000000,E2/G2)</f>
        <v>10000000</v>
      </c>
      <c r="M2" s="127">
        <f>IF(J2=0,10000000,H2/J2)</f>
        <v>10000000</v>
      </c>
    </row>
    <row r="3" spans="1:21" x14ac:dyDescent="0.2">
      <c r="A3" s="176" t="str">
        <f>Spielplan!P10</f>
        <v>USC Münster</v>
      </c>
      <c r="B3" s="437">
        <f>IF(Spielplan!Q23&gt;Spielplan!S23,2,IF(AND(Spielplan!Q23&gt;0,Spielplan!Q23=Spielplan!S23),1,0))+IF(Spielplan!S27&gt;Spielplan!Q27,2,IF(AND(Spielplan!S27&gt;0,Spielplan!S27=Spielplan!Q27),1,0))</f>
        <v>0</v>
      </c>
      <c r="C3" s="438"/>
      <c r="D3" s="439"/>
      <c r="E3" s="180">
        <f>Spielplan!Q23+Spielplan!S27</f>
        <v>0</v>
      </c>
      <c r="F3" s="181" t="s">
        <v>69</v>
      </c>
      <c r="G3" s="182">
        <f>Spielplan!S23+Spielplan!Q27</f>
        <v>0</v>
      </c>
      <c r="H3" s="183">
        <f>Spielplan!T23+Spielplan!W23+Spielplan!Z23+Spielplan!V27+Spielplan!Y27+Spielplan!AB27</f>
        <v>0</v>
      </c>
      <c r="I3" s="181" t="s">
        <v>69</v>
      </c>
      <c r="J3" s="179">
        <f>Spielplan!V23+Spielplan!Y23+Spielplan!AB23+Spielplan!T27+Spielplan!W27+Spielplan!Z27</f>
        <v>0</v>
      </c>
      <c r="K3" s="127">
        <f t="shared" ref="K3:K5" si="0">B3</f>
        <v>0</v>
      </c>
      <c r="L3" s="127">
        <f t="shared" ref="L3:L5" si="1">IF(G3=0,10000000,E3/G3)</f>
        <v>10000000</v>
      </c>
      <c r="M3" s="127">
        <f t="shared" ref="M3:M5" si="2">IF(J3=0,10000000,H3/J3)</f>
        <v>10000000</v>
      </c>
    </row>
    <row r="4" spans="1:21" ht="16" thickBot="1" x14ac:dyDescent="0.25">
      <c r="A4" s="184" t="str">
        <f>Spielplan!P11</f>
        <v>Lüner SV</v>
      </c>
      <c r="B4" s="442">
        <f>IF(Spielplan!S19&gt;Spielplan!Q19,2,IF(AND(Spielplan!S19&gt;0,Spielplan!S19=Spielplan!Q19),1,0))+IF(Spielplan!S23&gt;Spielplan!Q23,2,IF(AND(Spielplan!S23&gt;0,Spielplan!S23=Spielplan!Q23),1,0))</f>
        <v>0</v>
      </c>
      <c r="C4" s="443"/>
      <c r="D4" s="444"/>
      <c r="E4" s="185">
        <f>Spielplan!S19+Spielplan!S23</f>
        <v>0</v>
      </c>
      <c r="F4" s="186" t="s">
        <v>69</v>
      </c>
      <c r="G4" s="187">
        <f>Spielplan!Q19+Spielplan!Q23</f>
        <v>0</v>
      </c>
      <c r="H4" s="188">
        <f>Spielplan!V19+Spielplan!Y19+Spielplan!AB19+Spielplan!V23+Spielplan!Y23+Spielplan!AB23</f>
        <v>0</v>
      </c>
      <c r="I4" s="186" t="s">
        <v>69</v>
      </c>
      <c r="J4" s="189">
        <f>Spielplan!T19+Spielplan!W19+Spielplan!Z19+Spielplan!T23+Spielplan!W23+Spielplan!Z23</f>
        <v>0</v>
      </c>
      <c r="K4" s="127">
        <f t="shared" si="0"/>
        <v>0</v>
      </c>
      <c r="L4" s="127">
        <f t="shared" si="1"/>
        <v>10000000</v>
      </c>
      <c r="M4" s="127">
        <f t="shared" si="2"/>
        <v>10000000</v>
      </c>
    </row>
    <row r="5" spans="1:21" x14ac:dyDescent="0.2">
      <c r="A5" s="146"/>
      <c r="B5" s="378"/>
      <c r="C5" s="378"/>
      <c r="D5" s="378"/>
      <c r="E5" s="147"/>
      <c r="F5" s="148"/>
      <c r="G5" s="149"/>
      <c r="H5" s="150"/>
      <c r="I5" s="148"/>
      <c r="J5" s="151"/>
      <c r="K5" s="127">
        <f t="shared" si="0"/>
        <v>0</v>
      </c>
      <c r="L5" s="127">
        <f t="shared" si="1"/>
        <v>10000000</v>
      </c>
      <c r="M5" s="127">
        <f t="shared" si="2"/>
        <v>10000000</v>
      </c>
    </row>
    <row r="6" spans="1:21" ht="16" thickBot="1" x14ac:dyDescent="0.25"/>
    <row r="7" spans="1:21" ht="16" thickBot="1" x14ac:dyDescent="0.25">
      <c r="A7" s="190"/>
      <c r="B7" s="445" t="s">
        <v>73</v>
      </c>
      <c r="C7" s="445"/>
      <c r="D7" s="445"/>
      <c r="E7" s="445"/>
      <c r="F7" s="445"/>
      <c r="G7" s="445"/>
      <c r="H7" s="445"/>
      <c r="I7" s="445"/>
      <c r="J7" s="446"/>
      <c r="K7" s="447" t="s">
        <v>70</v>
      </c>
      <c r="L7" s="448"/>
      <c r="M7" s="449"/>
      <c r="N7" s="448" t="s">
        <v>71</v>
      </c>
      <c r="O7" s="448"/>
      <c r="P7" s="449"/>
      <c r="Q7" s="448" t="s">
        <v>72</v>
      </c>
      <c r="R7" s="448"/>
      <c r="S7" s="449"/>
    </row>
    <row r="8" spans="1:21" x14ac:dyDescent="0.2">
      <c r="A8" s="191" t="s">
        <v>54</v>
      </c>
      <c r="B8" s="450" t="str">
        <f>IF(SUM(B2:B4)=0,"",
IF(OR(AND(K2&gt;K3,K2&gt;K4),
AND(K2=K3,K2&gt;K4,L2&gt;L3),AND(K2=K3,K2&gt;K4,L2=L3,M2&gt;M3),AND(K2=K3,K2&gt;K4,L2=L3,M2=M3,H2&gt;H3), AND(K2&gt;K3,K2=K4,L2&gt;L4),AND(K2&gt;K3,K2=K4,L2=L4,M2&gt;M4),AND(K2&gt;K3,K2=K4,L2=L4,M2=M4,H2&gt;H4),
AND(K2=K3,K2=K4,L2&gt;L3,L2&gt;L4),
AND(K2=K3,K2=K4,L2=L3,L2&gt;L4,M2&gt;M3), AND(K2=K3,K2=K4,L2=L3,L2&gt;L4,M2=M3,H2&gt;H3),
AND(K2=K3,K2=K4,L2&gt;L3,L2=L4,M2&gt;M4), AND(K2=K3,K2=K4,L2&gt;L3,L2=L4,M2=M4,H2&gt;H4),
AND(K2=K3,K2=K4,L2=L3,L2=L4,M2&gt;M3,M2&gt;M4), AND(K2=K3,K2=K4,L2=L3,L2=L4,M2=M3,M2&gt;M4,H2&gt;H3),
AND(K2=K3,K2=K4,L2=L3,L2=L4,M2&gt;M3,M2=M4,H2&gt;H4)
),
A2,
IF(OR(AND(K3&gt;K2,K3&gt;K4),
AND(K3=K2,K3&gt;K4,L3&gt;L2),AND(K3=K2,K3&gt;K4,L3=L2,M3&gt;M2),AND(K3=K2,K3&gt;K4,L3=L2,M3=M2,H3&gt;H2), AND(K3&gt;K2,K3=K4,L3&gt;L4),AND(K3&gt;K2,K3=K4,L3=L4,M3&gt;M4),AND(K3&gt;K2,K3=K4,L3=L4,M3=M4,H3&gt;H4),
AND(K3=K2,K3=K4,L3&gt;L2,L3&gt;L4),
AND(K2=K2,K3=K4,L3=L2,L3&gt;L4,M3&gt;M2), AND(K3=K2,K3=K4,L3=L2,L3&gt;L4,M3=M2,H3&gt;H2),
AND(K3=K2,K3=K4,L3&gt;L2,L3=L4,M3&gt;M4), AND(K3=K2,K3=K4,L3&gt;L2,L3=L4,M3=M4,H3&gt;H4),
AND(K3=K2,K3=K4,L3=L2,L3=L4,M3&gt;M2,M3&gt;M4), AND(K3=K2,K3=K4,L3=L2,L3=L4,M3=M2,M3&gt;M4,H3&gt;H2),
AND(K3=K2,K3=K4,L3=L2,L3=L4,M3&gt;M2,M3=M4,H3&gt;H4)
),
A3,
IF(OR(AND(K4&gt;K3,K4&gt;K2),
AND(K4=K3,K4&gt;K2,L4&gt;L3),AND(K4=K3,K4&gt;K2,L4=L3,M4&gt;M3),AND(K4=K3,K4&gt;K2,L4=L3,M4=M3,H4&gt;H3), AND(K4&gt;K3,K4=K2,L4&gt;L2),AND(K4&gt;K3,K4=K2,L4=L2,M4&gt;M2),AND(K4&gt;K3,K4=K2,L4=L2,M4=M2,H4&gt;H2),
AND(K4=K3,K4=K2,L4&gt;L3,L4&gt;L2),
AND(K4=K3,K4=K2,L4=L3,L4&gt;L2,M4&gt;M3), AND(K4=K3,K4=K2,L4=L3,L4&gt;L2,M4=M3,H4&gt;H3),
AND(K4=K3,K4=K2,L4&gt;L3,L4=L2,M4&gt;M2), AND(K4=K3,K4=K2,L4&gt;L3,L4=L2,M4=M2,H4&gt;H2),
AND(K4=K3,K4=K2,L4=L3,L4=L3,M4&gt;M3,M4&gt;M2), AND(K4=K3,K4=K2,L4=L3,L4=L2,M4=M3,M4&gt;M2,H4&gt;H3),
AND(K4=K3,K4=K2,L4=L3,L4=L2,M4&gt;M3,M4=M2,H4&gt;H2)
),
A4,A2
))))</f>
        <v/>
      </c>
      <c r="C8" s="450"/>
      <c r="D8" s="450"/>
      <c r="E8" s="450"/>
      <c r="F8" s="450"/>
      <c r="G8" s="450"/>
      <c r="H8" s="450"/>
      <c r="I8" s="450"/>
      <c r="J8" s="451"/>
      <c r="K8" s="452" t="str">
        <f>IF(B8="","",IF($B8=$A$2,B$2,IF($B8=$A$3,B$3,IF($B8=$A$4,B$4,0))))</f>
        <v/>
      </c>
      <c r="L8" s="453"/>
      <c r="M8" s="454"/>
      <c r="N8" s="192" t="str">
        <f>IF(B8="","",IF($B8=$A$2,E$2,IF($B8=$A$3,E$3,IF($B8=$A$4,E$4,0))))</f>
        <v/>
      </c>
      <c r="O8" s="193" t="s">
        <v>69</v>
      </c>
      <c r="P8" s="194" t="str">
        <f>IF(B8="","",IF($B8=$A$2,G$2,IF($B8=$A$3,G$3,IF($B8=$A$4,G$4,0))))</f>
        <v/>
      </c>
      <c r="Q8" s="192" t="str">
        <f>IF(B8="","",IF($B8=$A$2,H$2,IF($B8=$A$3,H$3,IF($B8=$A$4,H$4,0))))</f>
        <v/>
      </c>
      <c r="R8" s="193" t="s">
        <v>69</v>
      </c>
      <c r="S8" s="194" t="str">
        <f>IF(B8="","",IF($B8=$A$2,J$2,IF($B8=$A$3,J$3,IF($B8=$A$4,J$4,0))))</f>
        <v/>
      </c>
      <c r="T8" s="127" t="e">
        <f>IF(P8=0,100000000,N8/P8)</f>
        <v>#VALUE!</v>
      </c>
      <c r="U8" s="127" t="e">
        <f>IF(S8=0,100000000,Q8/S8)</f>
        <v>#VALUE!</v>
      </c>
    </row>
    <row r="9" spans="1:21" x14ac:dyDescent="0.2">
      <c r="A9" s="180" t="str">
        <f>IF(B8="","",IF(AND(K9=K8,T9=T8,U9=U8),A8,"2."))</f>
        <v/>
      </c>
      <c r="B9" s="435" t="str">
        <f>IF(OR(AND(B8=A2,B10=A3),AND(B8=A3,B10=A2)),A4,IF(OR(AND(B8=A2,B10=A4),AND(B8=A4,B10=A2)),A3,IF(OR(AND(B8=A3,B10=A4),AND(B8=A4,B10=A3)),A2,"")))</f>
        <v/>
      </c>
      <c r="C9" s="435"/>
      <c r="D9" s="435"/>
      <c r="E9" s="435"/>
      <c r="F9" s="435"/>
      <c r="G9" s="435"/>
      <c r="H9" s="435"/>
      <c r="I9" s="435"/>
      <c r="J9" s="436"/>
      <c r="K9" s="437" t="str">
        <f>IF(B9="","",IF($B9=$A$2,B$2,IF($B9=$A$3,B$3,IF($B9=$A$4,B$4,0))))</f>
        <v/>
      </c>
      <c r="L9" s="438"/>
      <c r="M9" s="439"/>
      <c r="N9" s="180" t="str">
        <f>IF(B9="","",IF($B9=$A$2,E$2,IF($B9=$A$3,E$3,IF($B9=$A$4,E$4,0))))</f>
        <v/>
      </c>
      <c r="O9" s="181" t="s">
        <v>69</v>
      </c>
      <c r="P9" s="182" t="str">
        <f>IF(B9="","",IF($B9=$A$2,G$2,IF($B9=$A$3,G$3,IF($B9=$A$4,G$4,0))))</f>
        <v/>
      </c>
      <c r="Q9" s="183" t="str">
        <f>IF(B9="","",IF($B9=$A$2,H$2,IF($B9=$A$3,H$3,IF($B9=$A$4,H$4,0))))</f>
        <v/>
      </c>
      <c r="R9" s="181" t="s">
        <v>69</v>
      </c>
      <c r="S9" s="179" t="str">
        <f>IF(B9="","",IF($B9=$A$2,J$2,IF($B9=$A$3,J$3,IF($B9=$A$4,J$4,0))))</f>
        <v/>
      </c>
      <c r="T9" s="127" t="e">
        <f t="shared" ref="T9:T10" si="3">IF(P9=0,100000000,N9/P9)</f>
        <v>#VALUE!</v>
      </c>
      <c r="U9" s="127" t="e">
        <f t="shared" ref="U9:U10" si="4">IF(S9=0,100000000,Q9/S9)</f>
        <v>#VALUE!</v>
      </c>
    </row>
    <row r="10" spans="1:21" ht="16" thickBot="1" x14ac:dyDescent="0.25">
      <c r="A10" s="185" t="str">
        <f>IF(B8="","",IF(AND(K10=K9,T10=T9,U10=U9),A9,"3."))</f>
        <v/>
      </c>
      <c r="B10" s="440" t="str">
        <f>IF(SUM(B2:B4)=0,"",
IF(OR(AND(K2&lt;K3,K2&lt;K4),
AND(K2=K3,K2&lt;K4,L2&lt;L3),AND(K2=K3,K2&lt;K4,L2=L3,M2&lt;M3),AND(K2=K3,K2&lt;K4,L2=L3,M2=M3,H2&lt;H3),AND(K2&lt;K3,K2=K4,L2&lt;L4),AND(K2&lt;K3,K2=K4,L2=L4,M2&lt;M4),AND(K2&lt;K3,K2=K4,L2=L4,M2=M4,H2&lt;H4),
AND(K2=K3,K2=K4,L2&lt;L3,L2&lt;L4),
AND(K2=K3,K2=K4,L2=L3,L2&lt;L4,M2&lt;M3),AND(K2=K3,K2=K4,L2=L3,L2&lt;L4,M2=M3,H2&lt;H3),
AND(K2=K3,K2=K4,L2&lt;L3,L2=L4,M2&lt;M4),AND(K2=K3,K2=K4,L2&lt;L3,L2=L4,M2=M4,H2&lt;H4),
AND(K2=K3,K2=K4,L2=L3,L2=L4,M2&lt;M3,M2&lt;M4),AND(K2=K3,K2=K4,L2=L3,L2=L4,M2=M3,M2&lt;M4,H2&lt;H3),
AND(K2=K3,K2=K4,L2=L3,L2=L4,M2&lt;M3,M2=M4,H2&lt;H4)
),
A2,
IF(OR(AND(K3&lt;K2,K3&lt;K4),
AND(K3=K2,K3&lt;K4,L3&lt;L2),AND(K3=K2,K3&lt;K4,L3=L2,M3&lt;M2),AND(K3=K2,K3&lt;K4,L3=L2,M3=M2,H3&lt;H2),AND(K3&lt;K2,K3=K4,L3&lt;L4),AND(K3&lt;K2,K3=K4,L3=L4,M3&lt;M4),AND(K3&lt;K2,K3=K4,L3=L4,M3=M4,H3&lt;H4),
AND(K3=K2,K3=K4,L3&lt;L2,L3&lt;L4),
AND(K2=K2,K3=K4,L3=L2,L3&lt;L4,M3&lt;M2),AND(K3=K2,K3=K4,L3=L2,L3&lt;L4,M3=M2,H3&lt;H2),
AND(K3=K2,K3=K4,L3&lt;L2,L3=L4,M3&lt;M4),AND(K3=K2,K3=K4,L3&lt;L2,L3=L4,M3=M4,H3&lt;H4),
AND(K3=K2,K3=K4,L3=L2,L3=L4,M3&lt;M2,M3&lt;M4),AND(K3=K2,K3=K4,L3=L2,L3=L4,M3=M2,M3&lt;M4,H3&lt;H2),
AND(K3=K2,K3=K4,L3=L2,L3=L4,M3&lt;M2,M3=M4,H3&lt;H4)
),
A3,
IF(OR(AND(K4&lt;K3,K4&lt;K2),
AND(K4=K3,K4&lt;K2,L4&lt;L3),AND(K4=K3,K4&lt;K2,L4=L3,M4&lt;M3),AND(K4=K3,K4&lt;K2,L4=L3,M4=M3,H4&lt;H3),AND(K4&lt;K3,K4=K2,L4&lt;L2),AND(K4&lt;K3,K4=K2,L4=L2,M4&lt;M2),AND(K4&lt;K3,K4=K2,L4=L2,M4=M2,H4&lt;H2),
AND(K4=K3,K4=K2,L4&lt;L3,L4&lt;L2),
AND(K4=K3,K4=K2,L4=L3,L4&lt;L2,M4&lt;M3),AND(K4=K3,K4=K2,L4=L3,L4&lt;L2,M4=M3,H4&lt;H3),
AND(K4=K3,K4=K2,L4&lt;L3,L4=L2,M4&lt;M2),AND(K4=K3,K4=K2,L4&lt;L3,L4=L2,M4=M2,H4&lt;H2),
AND(K4=K3,K4=K2,L4=L3,L4=L3,M4&lt;M3,M4&lt;M2),AND(K4=K3,K4=K2,L4=L3,L4=L2,M4=M3,M4&lt;M2,H4&lt;H3),
AND(K4=K3,K4=K2,L4=L3,L4=L2,M4&lt;M3,M4=M2,H4&lt;H2)
),
A4,A4
))))</f>
        <v/>
      </c>
      <c r="C10" s="440"/>
      <c r="D10" s="440"/>
      <c r="E10" s="440"/>
      <c r="F10" s="440"/>
      <c r="G10" s="440"/>
      <c r="H10" s="440"/>
      <c r="I10" s="440"/>
      <c r="J10" s="441"/>
      <c r="K10" s="442" t="str">
        <f>IF(B10="","",IF($B10=$A$2,B$2,IF($B10=$A$3,B$3,IF($B10=$A$4,B$4,0))))</f>
        <v/>
      </c>
      <c r="L10" s="443"/>
      <c r="M10" s="444"/>
      <c r="N10" s="185" t="str">
        <f>IF(B10="","",IF($B10=$A$2,E$2,IF($B10=$A$3,E$3,IF($B10=$A$4,E$4,0))))</f>
        <v/>
      </c>
      <c r="O10" s="186" t="s">
        <v>69</v>
      </c>
      <c r="P10" s="187" t="str">
        <f>IF(B10="","",IF($B10=$A$2,G$2,IF($B10=$A$3,G$3,IF($B10=$A$4,G$4,0))))</f>
        <v/>
      </c>
      <c r="Q10" s="188" t="str">
        <f>IF(B10="","",IF($B10=$A$2,H$2,IF($B10=$A$3,H$3,IF($B10=$A$4,H$4,0))))</f>
        <v/>
      </c>
      <c r="R10" s="186" t="s">
        <v>69</v>
      </c>
      <c r="S10" s="189" t="str">
        <f>IF(B10="","",IF($B10=$A$2,J$2,IF($B10=$A$3,J$3,IF($B10=$A$4,J$4,0))))</f>
        <v/>
      </c>
      <c r="T10" s="127" t="e">
        <f t="shared" si="3"/>
        <v>#VALUE!</v>
      </c>
      <c r="U10" s="127" t="e">
        <f t="shared" si="4"/>
        <v>#VALUE!</v>
      </c>
    </row>
  </sheetData>
  <mergeCells count="17">
    <mergeCell ref="N7:P7"/>
    <mergeCell ref="Q7:S7"/>
    <mergeCell ref="B8:J8"/>
    <mergeCell ref="K8:M8"/>
    <mergeCell ref="B1:D1"/>
    <mergeCell ref="E1:G1"/>
    <mergeCell ref="H1:J1"/>
    <mergeCell ref="B2:D2"/>
    <mergeCell ref="B3:D3"/>
    <mergeCell ref="B4:D4"/>
    <mergeCell ref="B9:J9"/>
    <mergeCell ref="K9:M9"/>
    <mergeCell ref="B10:J10"/>
    <mergeCell ref="K10:M10"/>
    <mergeCell ref="B5:D5"/>
    <mergeCell ref="B7:J7"/>
    <mergeCell ref="K7:M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workbookViewId="0">
      <selection activeCell="A6" sqref="A6"/>
    </sheetView>
  </sheetViews>
  <sheetFormatPr baseColWidth="10" defaultRowHeight="15" x14ac:dyDescent="0.2"/>
  <cols>
    <col min="1" max="1" width="16.1640625" customWidth="1"/>
    <col min="2" max="2" width="4.6640625" customWidth="1"/>
    <col min="3" max="3" width="1.6640625" bestFit="1" customWidth="1"/>
    <col min="4" max="5" width="4.6640625" customWidth="1"/>
    <col min="6" max="6" width="1.6640625" bestFit="1" customWidth="1"/>
    <col min="7" max="8" width="4.6640625" customWidth="1"/>
    <col min="9" max="9" width="1.6640625" bestFit="1" customWidth="1"/>
    <col min="10" max="10" width="4.6640625" customWidth="1"/>
  </cols>
  <sheetData>
    <row r="1" spans="1:13" x14ac:dyDescent="0.2">
      <c r="A1" s="108" t="s">
        <v>73</v>
      </c>
      <c r="B1" s="457" t="s">
        <v>70</v>
      </c>
      <c r="C1" s="458"/>
      <c r="D1" s="459"/>
      <c r="E1" s="458" t="s">
        <v>71</v>
      </c>
      <c r="F1" s="458"/>
      <c r="G1" s="459"/>
      <c r="H1" s="458" t="s">
        <v>72</v>
      </c>
      <c r="I1" s="458"/>
      <c r="J1" s="459"/>
      <c r="K1" s="127" t="s">
        <v>76</v>
      </c>
      <c r="L1" s="127" t="s">
        <v>74</v>
      </c>
      <c r="M1" s="127" t="s">
        <v>75</v>
      </c>
    </row>
    <row r="2" spans="1:13" x14ac:dyDescent="0.2">
      <c r="A2" s="109" t="str">
        <f>IF(Spielplan!C32="","3.A",Spielplan!C32)</f>
        <v>3.A</v>
      </c>
      <c r="B2" s="464">
        <f>IF(Spielplan!Q39&gt;Spielplan!S39,2,IF(AND(Spielplan!Q39&gt;0,Spielplan!Q39=Spielplan!S39),1,0))+IF(Spielplan!Q47&gt;Spielplan!S47,2,IF(AND(Spielplan!Q47&gt;0,Spielplan!Q47=Spielplan!S47),1,0))+IF(Spielplan!Q51&gt;Spielplan!S51,2,IF(AND(Spielplan!Q51&gt;0,Spielplan!Q51=Spielplan!S51),1,0))</f>
        <v>0</v>
      </c>
      <c r="C2" s="465"/>
      <c r="D2" s="466"/>
      <c r="E2" s="119">
        <f>Spielplan!Q39+Spielplan!Q47+Spielplan!Q51</f>
        <v>0</v>
      </c>
      <c r="F2" s="110" t="s">
        <v>69</v>
      </c>
      <c r="G2" s="114">
        <f>Spielplan!S39+Spielplan!S47+Spielplan!S51</f>
        <v>0</v>
      </c>
      <c r="H2" s="119">
        <f>Spielplan!T39+Spielplan!W39+Spielplan!Z39+Spielplan!T47+Spielplan!W47+Spielplan!Z47+Spielplan!T51+Spielplan!W51+Spielplan!Z51</f>
        <v>0</v>
      </c>
      <c r="I2" s="110" t="s">
        <v>69</v>
      </c>
      <c r="J2" s="114">
        <f>Spielplan!V39+Spielplan!Y39+Spielplan!AB39+Spielplan!V47+Spielplan!Y47+Spielplan!AB47+Spielplan!V51+Spielplan!Y51+Spielplan!AB51</f>
        <v>0</v>
      </c>
      <c r="K2" s="127">
        <f>B2</f>
        <v>0</v>
      </c>
      <c r="L2" s="127">
        <f>IF(G2=0,10000000,E2/G2)</f>
        <v>10000000</v>
      </c>
      <c r="M2" s="127">
        <f>IF(J2=0,10000000,H2/J2)</f>
        <v>10000000</v>
      </c>
    </row>
    <row r="3" spans="1:13" x14ac:dyDescent="0.2">
      <c r="A3" s="109" t="str">
        <f>IF(Spielplan!P32="","3.B",Spielplan!P32)</f>
        <v>3.B</v>
      </c>
      <c r="B3" s="464">
        <f>IF(Spielplan!S39&gt;Spielplan!Q39,2,IF(AND(Spielplan!S39&gt;0,Spielplan!S39=Spielplan!Q39),1,0))+IF(Spielplan!Q48&gt;Spielplan!S48,2,IF(AND(Spielplan!Q48&gt;0,Spielplan!Q48=Spielplan!S48),1,0))+IF(Spielplan!Q52&gt;Spielplan!S52,2,IF(AND(Spielplan!Q52&gt;0,Spielplan!Q52=Spielplan!S52),1,0))</f>
        <v>0</v>
      </c>
      <c r="C3" s="465"/>
      <c r="D3" s="466"/>
      <c r="E3" s="117">
        <f>Spielplan!S39+Spielplan!Q48+Spielplan!Q52</f>
        <v>0</v>
      </c>
      <c r="F3" s="111" t="s">
        <v>69</v>
      </c>
      <c r="G3" s="115">
        <f>Spielplan!Q39+Spielplan!S48+Spielplan!S52</f>
        <v>0</v>
      </c>
      <c r="H3" s="120">
        <f>Spielplan!V39+Spielplan!Y39+Spielplan!AB39+Spielplan!T48+Spielplan!W48+Spielplan!Z48+Spielplan!T52+Spielplan!W52+Spielplan!Z52</f>
        <v>0</v>
      </c>
      <c r="I3" s="111" t="s">
        <v>69</v>
      </c>
      <c r="J3" s="114">
        <f>Spielplan!T39+Spielplan!W39+Spielplan!Z39+Spielplan!V48+Spielplan!Y48+Spielplan!AB48+Spielplan!V52+Spielplan!Y52+Spielplan!AB52</f>
        <v>0</v>
      </c>
      <c r="K3" s="127">
        <f t="shared" ref="K3:K5" si="0">B3</f>
        <v>0</v>
      </c>
      <c r="L3" s="127">
        <f t="shared" ref="L3:L5" si="1">IF(G3=0,10000000,E3/G3)</f>
        <v>10000000</v>
      </c>
      <c r="M3" s="127">
        <f t="shared" ref="M3:M5" si="2">IF(J3=0,10000000,H3/J3)</f>
        <v>10000000</v>
      </c>
    </row>
    <row r="4" spans="1:13" x14ac:dyDescent="0.2">
      <c r="A4" s="109" t="str">
        <f>IF(Spielplan!C37="","3.C",Spielplan!C37)</f>
        <v>3.C</v>
      </c>
      <c r="B4" s="464">
        <f>IF(Spielplan!Q40&gt;Spielplan!S40,2,IF(AND(Spielplan!Q40&gt;0,Spielplan!Q40=Spielplan!S40),1,0))+IF(Spielplan!S47&gt;Spielplan!Q47,2,IF(AND(Spielplan!S47&gt;0,Spielplan!S47=Spielplan!Q47),1,0))+IF(Spielplan!S52&gt;Spielplan!Q52,2,IF(AND(Spielplan!S52&gt;0,Spielplan!S52=Spielplan!Q52),1,0))</f>
        <v>0</v>
      </c>
      <c r="C4" s="465"/>
      <c r="D4" s="466"/>
      <c r="E4" s="117">
        <f>Spielplan!Q40+Spielplan!S47+Spielplan!S52</f>
        <v>0</v>
      </c>
      <c r="F4" s="111" t="s">
        <v>69</v>
      </c>
      <c r="G4" s="115">
        <f>Spielplan!S40+Spielplan!Q47+Spielplan!Q52</f>
        <v>0</v>
      </c>
      <c r="H4" s="120">
        <f>Spielplan!T40+Spielplan!W40+Spielplan!Z40+Spielplan!V47+Spielplan!Y47+Spielplan!AB47+Spielplan!V52+Spielplan!Y52+Spielplan!AB52</f>
        <v>0</v>
      </c>
      <c r="I4" s="111" t="s">
        <v>69</v>
      </c>
      <c r="J4" s="114">
        <f>Spielplan!V40+Spielplan!Y40+Spielplan!AB40+Spielplan!T47+Spielplan!W47+Spielplan!Z47+Spielplan!T52+Spielplan!W52+Spielplan!Z52</f>
        <v>0</v>
      </c>
      <c r="K4" s="127">
        <f t="shared" si="0"/>
        <v>0</v>
      </c>
      <c r="L4" s="127">
        <f t="shared" si="1"/>
        <v>10000000</v>
      </c>
      <c r="M4" s="127">
        <f t="shared" si="2"/>
        <v>10000000</v>
      </c>
    </row>
    <row r="5" spans="1:13" ht="16" thickBot="1" x14ac:dyDescent="0.25">
      <c r="A5" s="113" t="str">
        <f>IF(Spielplan!P37="","3.D",Spielplan!P37)</f>
        <v>3.D</v>
      </c>
      <c r="B5" s="467">
        <f>IF(Spielplan!S40&gt;Spielplan!Q40,2,IF(AND(Spielplan!S40&gt;0,Spielplan!S40=Spielplan!Q40),1,0))+IF(Spielplan!S48&gt;Spielplan!Q48,2,IF(AND(Spielplan!S48&gt;0,Spielplan!S48=Spielplan!Q48),1,0))+IF(Spielplan!S51&gt;Spielplan!Q51,2,IF(AND(Spielplan!S51&gt;0,Spielplan!S51=Spielplan!Q51),1,0))</f>
        <v>0</v>
      </c>
      <c r="C5" s="468"/>
      <c r="D5" s="469"/>
      <c r="E5" s="118">
        <f>Spielplan!S40+Spielplan!S48+Spielplan!S51</f>
        <v>0</v>
      </c>
      <c r="F5" s="112" t="s">
        <v>69</v>
      </c>
      <c r="G5" s="116">
        <f>Spielplan!Q40+Spielplan!Q48+Spielplan!Q51</f>
        <v>0</v>
      </c>
      <c r="H5" s="121">
        <f>Spielplan!V40+Spielplan!Y40+Spielplan!AB40+Spielplan!V48+Spielplan!Y48+Spielplan!AB48+Spielplan!V51+Spielplan!Y51+Spielplan!AB51</f>
        <v>0</v>
      </c>
      <c r="I5" s="112" t="s">
        <v>69</v>
      </c>
      <c r="J5" s="122">
        <f>Spielplan!T40+Spielplan!W40+Spielplan!Z40+Spielplan!T48+Spielplan!W48+Spielplan!Z48+Spielplan!T51+Spielplan!W51+Spielplan!Z51</f>
        <v>0</v>
      </c>
      <c r="K5" s="127">
        <f t="shared" si="0"/>
        <v>0</v>
      </c>
      <c r="L5" s="127">
        <f t="shared" si="1"/>
        <v>10000000</v>
      </c>
      <c r="M5" s="127">
        <f t="shared" si="2"/>
        <v>10000000</v>
      </c>
    </row>
    <row r="7" spans="1:13" ht="16" thickBot="1" x14ac:dyDescent="0.25"/>
    <row r="8" spans="1:13" ht="16" thickTop="1" x14ac:dyDescent="0.2">
      <c r="A8" s="123" t="s">
        <v>62</v>
      </c>
      <c r="B8" s="460" t="str">
        <f>IF(SUM(B2:B5)&lt;12,"",IF(AND(K2&gt;K3,K2&gt;K4,K2&gt;K5),A2,IF(AND(K3&gt;K2,K3&gt;K4,K3&gt;K5),A3,IF(AND(K4&gt;K2,K4&gt;K3,K4&gt;K5),A4,IF(AND(K5&gt;K2,K5&gt;K3,K5&gt;K4),A5,IF(OR(AND(K2=K3,K2&gt;K4,K2&gt;K5,OR(B2&gt;B3,AND(B2=B3,OR(L2&gt;L3,AND(L2=L3,OR(E2&gt;E3,AND(E2=E3,OR(M2&gt;M3,AND(M2=M3,H2&gt;=H3))))))))),AND(K2=K4,K2&gt;K3,K2&gt;K5,OR(B2&gt;B4,AND(B2=B4,OR(L2&gt;L4,AND(L2=L4,OR(E2&gt;E4,AND(E2=E4,OR(M2&gt;M4,AND(M2=M4,H2&gt;=H4))))))))),AND(K2=K5,K2&gt;K4,K2&gt;K3,OR(B2&gt;B5,AND(B2=B5,OR(L2&gt;L5,AND(L2=L5,OR(E2&gt;E5,AND(E2=E5,OR(M2&gt;M5,AND(M2=M5,H2&gt;=H5)))))))))),A2,IF(OR(AND(K3=K2,K3&gt;K4,K3&gt;K5,OR(B3&gt;B2,AND(B3=B2,OR(L3&gt;L2,AND(L3=L2,OR(E3&gt;E2,AND(E3=E2,OR(M3&gt;M2,AND(M3=M2,H3&gt;=H2))))))))),AND(K3=K4,K3&gt;K2,K3&gt;K5,OR(B3&gt;B4,AND(B3=B4,OR(L3&gt;L4,AND(L3=L4,OR(E3&gt;E4,AND(E3=E4,OR(M3&gt;M4,AND(M3=M4,H3&gt;=H4))))))))),AND(K3=K5,K3&gt;K4,K3&gt;K2,OR(B3&gt;B5,AND(B3=B5,OR(L3&gt;L5,AND(L3=L5,OR(E3&gt;E5,AND(E3=E5,OR(M3&gt;M5,AND(M3=M5,H3&gt;=H5)))))))))),A3,IF(OR(AND(K4=K3,K4&gt;K2,K4&gt;K5,OR(B4&gt;B3,AND(B4=B3,OR(L4&gt;L3,AND(L4=L3,OR(E4&gt;E3,AND(E4=E3,OR(M4&gt;M3,AND(M4=M3,H4&gt;=H3))))))))),AND(K4=K2,K4&gt;K3,K4&gt;K5,OR(B4&gt;B2,AND(B4=B2,OR(L4&gt;L2,AND(L4=L2,OR(E4&gt;E2,AND(E4=E2,OR(M4&gt;M2,AND(M4=M2,H4&gt;=H2))))))))),AND(K4=K5,K4&gt;K2,K4&gt;K3,OR(B4&gt;B5,AND(B4=B5,OR(L4&gt;L5,AND(L4=L5,OR(E4&gt;E5,AND(E4=E5,OR(M4&gt;M5,AND(M4=M5,H4&gt;=H5)))))))))),A4,IF(OR(AND(K5=K3,K5&gt;K4,K5&gt;K2,OR(B5&gt;B3,AND(B5=B3,OR(L5&gt;L3,AND(L5=L3,OR(E5&gt;E3,AND(E5=E3,OR(M5&gt;M3,AND(M5=M3,H5&gt;=H3))))))))),AND(K5=K4,K5&gt;K3,K5&gt;K2,OR(B5&gt;B4,AND(B5=B4,OR(L5&gt;L4,AND(L5=L4,OR(E5&gt;E4,AND(E5=E4,OR(M5&gt;M4,AND(M5=M4,H5&gt;=H4))))))))),AND(K5=K2,K5&gt;K4,K5&gt;K3,OR(B5&gt;B2,AND(B5=B2,OR(L5&gt;L2,AND(L5=L2,OR(E5&gt;E2,AND(E5=E2,OR(M5&gt;M2,AND(M5=M2,H5&gt;=H2)))))))))),A5,IF(OR(AND(K2=K3,K2=K4,K2&gt;K5,OR(AND(B2&gt;B3,B2&gt;B4),AND(B2=B3,B2&gt;B4,OR(L2&gt;L3,AND(L2=L3,OR(E2&gt;E3,AND(E2=E3,OR(M2&gt;M3,AND(M2=M3,H2&gt;=H3))))))),AND(B2&gt;B3,B2=B4,OR(L2&gt;L4,AND(L2=L4,OR(E2&gt;E4,AND(E2=E4,OR(M2&gt;M4,AND(M2=M4,H2&gt;=H4))))))),AND(B2=B3,B2=B4,OR(AND(L2&gt;L3,L2&gt;L4),AND(L2=L3,L2&gt;L4,OR(E2&gt;E3,AND(E2=E3,OR(M2&gt;M3,AND(M2=M3,H2&gt;=H3))))),AND(L2=L4,L2&gt;L3,OR(E2&gt;E4,AND(E2=E4,OR(M2&gt;M4,AND(M2=M4,H2&gt;=H4))))),AND(L2=L3,L2=L4,E2=E3,E2=E4,OR(AND(M2&gt;M3,M2&gt;M4),AND(M2=M3,M2&gt;M4,H2&gt;=H3),AND(M2&gt;M3,M2=M4,H2&gt;=H4),AND(M2=M3,M2=M4,H2&gt;=H3,H2&gt;=H4))))))),AND(K2=K3,K2&gt;K4,K2=K5,OR(AND(B2&gt;B3,B2&gt;B5),AND(B2=B3,B2&gt;B5,OR(L2&gt;L3,AND(L2=L3,OR(E2&gt;E3,AND(E2=E3,OR(M2&gt;M3,AND(M2=M3,H2&gt;=H3))))))),AND(B2&gt;B3,B2=B5,OR(L2&gt;L5,AND(L2=L5,OR(E2&gt;E5,AND(E2=E5,OR(M2&gt;M5,AND(M2=M5,H2&gt;=H5))))))),AND(B2=B3,B2=B5,OR(AND(L2&gt;L3,L2&gt;L5),AND(L2=L3,L2&gt;L5,OR(E2&gt;E3,AND(E2=E3,OR(M2&gt;M3,AND(M2=M3,H2&gt;=H3))))),AND(L2=L5,L2&gt;L3,OR(E2&gt;E5,AND(E2=E5,OR(M2&gt;M5,AND(M2=M5,H2&gt;=H5))))),AND(L2=L3,L2=L5,E2=E3,E2=E5,OR(AND(M2&gt;M3,M2&gt;M5),AND(M2=M3,M2&gt;M5,H2&gt;=H3),AND(M2&gt;M3,M2=M5,H2&gt;=H5),AND(M2=M3,M2=M5,H2&gt;=H3,H2&gt;=H5))))))),AND(K2&gt;K3,K2=K4,K2=K5,OR(AND(B2&gt;B5,B2&gt;B4),AND(B2=B5,B2&gt;B4,OR(L2&gt;L5,AND(L2=L5,OR(E2&gt;E5,AND(E2=E5,OR(M2&gt;M5,H2&gt;=H5)))))),AND(B2&gt;B3,B2=B4,OR(L2&gt;L4,AND(L2=L4,OR(E2&gt;E4,AND(E2=E4,OR(M2&gt;M4,H2&gt;=H4)))))),AND(B2=B5,B2=B4,OR(AND(L2&gt;L5,L2&gt;L4),AND(L2=L5,L2&gt;L4,OR(E2&gt;E5,AND(E2=E5,OR(M2&gt;M5,AND(M2=M5,H2&gt;=H5))))),AND(L2=L4,L2&gt;L5,OR(E2&gt;E4,AND(E2=E4,OR(M2&gt;M4,AND(M2=M4,H2&gt;=H4))))),AND(L2=L5,L2=L4,E2=E5,E2=E4,OR(AND(M2&gt;M5,M2&gt;M4),AND(M2=M5,M2&gt;M4,H2&gt;=H5),AND(M2&gt;M5,M2=M4,H2&gt;=H4),AND(M2=M5,M2=M4,H2&gt;=H5,H2&gt;=H4)))))))),A2,IF(OR(AND(K3=K2,K3=K4,K3&gt;K5,OR(AND(B3&gt;B2,B3&gt;B4),AND(B3=B2,B3&gt;B4,OR(L3&gt;L2,AND(L3=L2,OR(E3&gt;E2,AND(E3=E2,OR(M3&gt;M2,H3&gt;=H2)))))),AND(B3&gt;B2,B3=B4,OR(L3&gt;L4,AND(L3=L4,OR(E3&gt;E4,AND(E3=E4,OR(M3&gt;M4,H3&gt;=H4)))))),AND(B3=B2,B3=B4,OR(AND(L3&gt;L2,L3&gt;L4),AND(L3=L2,L3&gt;L4,OR(E3&gt;E2,AND(E3=E2,OR(M3&gt;M2,AND(M3=M2,H3&gt;=H2))))),AND(L3=L4,L3&gt;L2,OR(E3&gt;E4,AND(E3=E4,OR(M3&gt;M4,AND(M3=M4,H3&gt;=H4))))),AND(L3=L2,L3=L4,E3=E2,E3=E4,OR(AND(M3&gt;M2,M3&gt;M4),AND(M3=M2,M3&gt;M4,H3&gt;=H2),AND(M3&gt;M2,M3=M4,H3&gt;=H4),AND(M3=M2,M3=M4,H3&gt;=H2,H3&gt;=H4))))))),AND(K3=K2,K3&gt;K4,K3=K5,OR(AND(B3&gt;B2,B3&gt;B5),AND(B3=B2,B3&gt;B5,OR(L3&gt;L2,AND(L3=L2,OR(E3&gt;E2,AND(E3=E2,OR(M3&gt;M2,H3&gt;=H2)))))),AND(B3&gt;B2,B3=B5,OR(L3&gt;L5,AND(L3=L5,OR(E3&gt;E5,AND(E3=E5,OR(M3&gt;M5,H3&gt;=H5)))))),AND(B3=B2,B3=B5,OR(AND(L3&gt;L2,L3&gt;L5),AND(L3=L2,L3&gt;L5,OR(E3&gt;E2,AND(E3=E2,OR(M3&gt;M2,AND(M3=M2,H3&gt;=H2))))),AND(L3=L5,L3&gt;L2,OR(E3&gt;E5,AND(E3=E5,OR(M3&gt;M5,AND(M3=M5,H3&gt;=H5))))),AND(L3=L2,L3=L5,E3=E2,E3=E5,OR(AND(M3&gt;M2,M3&gt;M5),AND(M3=M2,M3&gt;M5,H3&gt;=H2),AND(M3&gt;M2,M3=M5,H3&gt;=H5),AND(M3=M2,M3=M5,H3&gt;=H2,H3&gt;=H5))))))),AND(K3&gt;K2,K3=K4,K3=K5,OR(AND(B3&gt;B5,B3&gt;B4),AND(B3=B5,B3&gt;B4,OR(L3&gt;L5,AND(L3=L5,OR(E3&gt;E5,AND(E3=E5,OR(M3&gt;M5,H3&gt;=H5)))))),AND(B3&gt;B2,B3=B4,OR(L3&gt;L4,AND(L3=L4,OR(E3&gt;E4,AND(E3=E4,OR(M3&gt;M4,H3&gt;=H4)))))),AND(B3=B5,B3=B4,OR(AND(L3&gt;L5,L3&gt;L4),AND(L3=L5,L3&gt;L4,OR(E3&gt;E5,AND(E3=E5,OR(M3&gt;M5,AND(M3=M5,H3&gt;=H5))))),AND(L3=L4,L3&gt;L5,OR(E3&gt;E4,AND(E3=E4,OR(M3&gt;M4,AND(M3=M4,H3&gt;=H4))))),AND(L3=L5,L3=L4,E3=E5,E3=E4,OR(AND(M3&gt;M5,M3&gt;M4),AND(M3=M5,M3&gt;M4,H3&gt;=H5),AND(M3&gt;M5,M3=M4,H3&gt;=H4),AND(M3=M5,M3=M4,H3&gt;=H5,H3&gt;=H4)))))))),A3,IF(OR(AND(K4=K3,K4=K2,K4&gt;K5,OR(AND(B4&gt;B3,B4&gt;B2),AND(B4=B3,B4&gt;B2,OR(L4&gt;L3,AND(L4=L3,OR(E4&gt;E3,AND(E4=E3,OR(M4&gt;M3,H4&gt;=H3)))))),AND(B4&gt;B3,B4=B2,OR(L4&gt;L2,AND(L4=L2,OR(E4&gt;E2,AND(E4=E2,OR(M4&gt;M2,H4&gt;=H2)))))),AND(B4=B2,B4=B3,OR(AND(L4&gt;L2,L4&gt;L3),AND(L4=L2,L4&gt;L3,OR(E4&gt;E2,AND(E4=E2,OR(M4&gt;M2,AND(M4=M2,H4&gt;=H2))))),AND(L4=L3,L4&gt;L2,OR(E4&gt;E3,AND(E4=E3,OR(M4&gt;M3,AND(M4=M3,H4&gt;=H3))))),AND(L4=L2,L4=L3,E4=E2,E4=E3,OR(AND(M4&gt;M2,M4&gt;M3),AND(M4=M2,M4&gt;M3,H4&gt;=H2),AND(M4&gt;M2,M4=M3,H4&gt;=H3),AND(M4=M2,M4=M3,H4&gt;=H2,H4&gt;=H3))))))),AND(K4=K3,K4&gt;K2,K4=K5,OR(AND(B4&gt;B3,B4&gt;B5),AND(B4=B3,B4&gt;B5,OR(L4&gt;L3,AND(L4=L3,OR(E4&gt;E3,AND(E4=E3,OR(M4&gt;M3,H4&gt;=H3)))))),AND(B4&gt;B3,B4=B5,OR(L4&gt;L5,AND(L4=L5,OR(E4&gt;E5,AND(E4=E5,OR(M4&gt;M5,H4&gt;=H5)))))),AND(B4=B5,B4=B3,OR(AND(L4&gt;L5,L4&gt;L3),AND(L4=L5,L4&gt;L3,OR(E4&gt;E5,AND(E4=E5,OR(M4&gt;M5,AND(M4=M5,H4&gt;=H5))))),AND(L4=L3,L4&gt;L5,OR(E4&gt;E3,AND(E4=E3,OR(M4&gt;M3,AND(M4=M3,H4&gt;=H3))))),AND(L4=L5,L4=L3,E4=E5,E4=E3,OR(AND(M4&gt;M5,M4&gt;M3),AND(M4=M5,M4&gt;M3,H4&gt;=H5),AND(M4&gt;M5,M4=M3,H4&gt;=H3),AND(M4=M5,M4=M3,H4&gt;=H5,H4&gt;=H3))))))),AND(K4&gt;K3,K4=K2,K4=K5,OR(AND(B4&gt;B5,B4&gt;B2),AND(B4=B5,B4&gt;B2,OR(L4&gt;L5,AND(L4=L5,OR(E4&gt;E5,AND(E4=E5,OR(M4&gt;M5,H2&gt;=H5)))))),AND(B4&gt;B3,B4=B2,OR(L4&gt;L2,AND(L4=L2,OR(E4&gt;E2,AND(E4=E2,OR(M4&gt;M2,H4&gt;=H2)))))),AND(B4=B2,B4=B5,OR(AND(L4&gt;L2,L4&gt;L5),AND(L4=L2,L4&gt;L5,OR(E4&gt;E2,AND(E4=E2,OR(M4&gt;M2,AND(M4=M2,H4&gt;=H2))))),AND(L4=L5,L4&gt;L2,OR(E4&gt;E5,AND(E4=E5,OR(M4&gt;M5,AND(M4=M5,H4&gt;=H5))))),AND(L4=L2,L4=L5,E4=E2,E4=E5,OR(AND(M4&gt;M2,M4&gt;M5),AND(M4=M2,M4&gt;M5,H4&gt;=H2),AND(M4&gt;M2,M4=M5,H4&gt;=H5),AND(M4=M2,M4=M5,H4&gt;=H2,H4&gt;=H5)))))))),A4,IF(OR(AND(K5=K3,K5=K4,K5&gt;K2,OR(AND(B5&gt;B3,B5&gt;B4),AND(B5=B3,B5&gt;B4,OR(L5&gt;L3,AND(L5=L3,OR(E5&gt;E3,AND(E5=E3,OR(M5&gt;M3,H5&gt;=H3)))))),AND(B5&gt;B3,B5=B4,OR(L5&gt;L4,AND(L5=L4,OR(E5&gt;E4,AND(E5=E4,OR(M5&gt;M4,H5&gt;=H4)))))),AND(B5=B4,B5=B3,OR(AND(L5&gt;L4,L5&gt;L3),AND(L5=L4,L5&gt;L3,OR(E5&gt;E4,AND(E5=E4,OR(M5&gt;M4,AND(M5=M4,H5&gt;=H4))))),AND(L5=L3,L5&gt;L4,OR(E5&gt;E3,AND(E5=E3,OR(M5&gt;M3,AND(M5=M3,H5&gt;=H3))))),AND(L5=L4,L5=L3,E5=E4,E5=E3,OR(AND(M5&gt;M4,M5&gt;M3),AND(M5=M4,M5&gt;M3,H5&gt;=H4),AND(M5&gt;M4,M5=M3,H5&gt;=H3),AND(M5=M4,M5=M3,H5&gt;=H4,H5&gt;=H3))))))),AND(K5=K3,K5&gt;K4,K5=K2,OR(AND(B5&gt;B3,B5&gt;B2),AND(B5=B3,B5&gt;B2,OR(L5&gt;L3,AND(L5=L3,OR(E5&gt;E3,AND(E5=E3,OR(M5&gt;M3,H5&gt;=H3)))))),AND(B5&gt;B3,B5=B2,OR(L5&gt;L2,AND(L5=L2,OR(E5&gt;E2,AND(E5=E2,OR(M5&gt;M2,H5&gt;=H2)))))),AND(B5=B2,B5=B3,OR(AND(L5&gt;L2,L5&gt;L3),AND(L5=L2,L5&gt;L3,OR(E5&gt;E2,AND(E5=E2,OR(M5&gt;M2,AND(M5=M2,H5&gt;=H2))))),AND(L5=L3,L5&gt;L2,OR(E5&gt;E3,AND(E5=E3,OR(M5&gt;M3,AND(M5=M3,H5&gt;=H3))))),AND(L5=L2,L5=L3,E5=E2,E5=E3,OR(AND(M5&gt;M2,M5&gt;M3),AND(M5=M2,M5&gt;M3,H5&gt;=H2),AND(M5&gt;M2,M5=M3,H5&gt;=H3),AND(M5=M2,M5=M3,H5&gt;=H2,H5&gt;=H3))))))),AND(K5&gt;K3,K5=K4,K5=K2,OR(AND(B5&gt;B2,B5&gt;B4),AND(B5=B2,B5&gt;B4,OR(L5&gt;L2,AND(L5=L2,OR(E5&gt;E2,AND(E5=E2,OR(M5&gt;M2,H5&gt;=H2)))))),AND(B5&gt;B3,B5=B4,OR(L5&gt;L4,AND(L5=L4,OR(E5&gt;E4,AND(E5=E4,OR(M5&gt;M4,H5&gt;=H4)))))),AND(B5=B4,B5=B2,OR(AND(L5&gt;L4,L5&gt;L2),AND(L5=L4,L5&gt;L2,OR(E5&gt;E4,AND(E5=E4,OR(M5&gt;M4,AND(M5=M4,H5&gt;=H4))))),AND(L5=L2,L5&gt;L4,OR(E5&gt;E2,AND(E5=E2,OR(M5&gt;M2,AND(M5=M2,H5&gt;=H2))))),AND(L5=L4,L5=L2,E5=E4,E5=E2,OR(AND(M5&gt;M4,M5&gt;M2),AND(M5=M4,M5&gt;M2,H5&gt;=H4),AND(M5&gt;M4,M5=M2,H5&gt;=H2),AND(M5=M4,M5=M2,H5&gt;=H4,H5&gt;=H2)))))))),A5,““)))))))))))))</f>
        <v/>
      </c>
      <c r="C8" s="460"/>
      <c r="D8" s="460"/>
      <c r="E8" s="460"/>
      <c r="F8" s="460"/>
      <c r="G8" s="460"/>
      <c r="H8" s="460"/>
      <c r="I8" s="460"/>
      <c r="J8" s="461"/>
    </row>
    <row r="9" spans="1:13" x14ac:dyDescent="0.2">
      <c r="A9" s="124" t="s">
        <v>63</v>
      </c>
      <c r="B9" s="462" t="str">
        <f>IF(SUM(B2:B5)&lt;12,"",IF(AND(OR(AND(B8=A2,B11=A3),AND(B8=A3,B11=A2)),OR(K4&gt;K5,AND(K4=K5,B4&gt;B5),AND(K4=K5,B4=B5,L4&gt;L5),AND(K4=K5,B4=B5,L4=L5,E4&gt;E5),AND(K4=K5,B4=B5,L4=L5,E4=E5,M4&gt;M5),AND(K4=K5,B4=B5,L4=L5,E4=E5,M4=M5,H4&gt;=H5))),A4,
IF(AND(OR(AND(B8=A2,B11=A3),AND(B8=A3,B11=A2)),OR(K5&gt;K4,AND(K5=K4,B5&gt;B4),AND(K5=K4,B5=B4,L5&gt;L4),AND(K5=K4,B5=B4,L5=L4,E5&gt;E4),AND(K5=K4,B5=B4,L5=L4,E5=E4,M5&gt;M4),AND(K5=K4,B5=B4,L5=L4,E5=E4,M5=M4,H5&gt;=H4))),A5,
IF(AND(OR(AND(B8=A2,B11=A4),AND(B8=A4,B11=A2)),OR(K3&gt;K5,AND(K3=K5,B3&gt;B5),AND(K3=K5,B3=B5,L3&gt;L5),AND(K3=K5,B3=B5,L3=L5,E3&gt;E5),AND(K3=K5,B3=B5,L3=L5,E3=E5,M3&gt;M5),AND(K3=K5,B3=B5,L3=L5,E3=E5,M3=M5,H3&gt;=H5))),A3,
IF(AND(OR(AND(B8=A2,B11=A4),AND(B8=A4,B11=A2)),OR(K5&gt;K3,AND(K5=K3,B5&gt;B3),AND(K5=K3,B5=B3,L5&gt;L3),AND(K5=K3,B5=B3,L5=L3,E5&gt;E3),AND(K5=K3,B5=B3,L5=L3,E5=E3,M5&gt;M3),AND(K5=K3,B5=B3,L5=L3,E5=E3,M5=M3,H5&gt;=H3))),A5,
IF(AND(OR(AND(B8=A2,B11=A5),AND(B8=A5,B11=A2)),OR(K3&gt;K4,AND(K3=K4,B3&gt;B4),AND(K3=K4,B3=B4,L3&gt;L4),AND(K3=K4,B3=B4,L3=L4,E3&gt;E4),AND(K3=K4,B3=B4,L3=L4,E3=E4,M3&gt;M4),AND(K3=K4,B3=B4,L3=L4,E3=E4,M3=M4,H3&gt;=H4))),A3,
IF(AND(OR(AND(B8=A2,B11=A5),AND(B8=A5,B11=A2)),OR(K3&gt;K4,AND(K4=K3,B4&gt;B3),AND(K4=K3,B4=B3,L4&gt;L3),AND(K4=K3,B4=B3,L4=L3,E4&gt;E3),AND(K4=K3,B4=B3,L4=L3,E4=E3,M4&gt;M3),AND(K4=K3,B4=B3,L4=L3,E4=E3,M4=M3,H4&gt;=H3))),A4,
IF(AND(OR(AND(B8=A3,B11=A4),AND(B8=A4,B11=A3)),OR(K2&gt;K5,AND(K2=K5,B2&gt;B5),AND(K2=K5,B2=B5,L2&gt;L5),AND(K2=K5,B2=B5,L2=L5,E2&gt;E5),AND(K2=K5,B2=B5,L2=L5,E2=E5,M2&gt;M5),AND(K2=K5,B2=B5,L2=L5,E2=E5,M2=M5,H2&gt;=H5))),A2,
IF(AND(OR(AND(B8=A3,B11=A4),AND(B8=A4,B11=A3)),OR(K5&gt;K2,AND(K5=K2,B5&gt;B2),AND(K5=K2,B5=B2,L5&gt;L2),AND(K5=K2,B5=B2,L5=L2,E5&gt;E2),AND(K5=K2,B5=B2,L5=L2,E5=E2,M5&gt;M2),AND(K5=K2,B5=B2,L5=L2,E5=E2,M5=M2,H5&gt;=H2))),A5,
IF(AND(OR(AND(B8=A3,B11=A5),AND(B8=A5,B11=A3)),OR(K2&gt;K4,AND(K2=K4,B2&gt;B4),AND(K2=K4,B2=B4,L2&gt;L4),AND(K2=K4,B2=B4,L2=L4,E2&gt;E4),AND(K2=K4,B2=B4,L2=L4,E2=E4,M2&gt;M4),AND(K2=K4,B2=B4,L2=L4,E2=E4,M2=M4,H2&gt;=H4))),A2,
IF(AND(OR(AND(B8=A3,B11=A5),AND(B8=A5,B11=A3)),OR(K4&gt;K2,AND(K4=K2,B4&gt;B2),AND(K4=K2,B4=B2,L4&gt;L2),AND(K4=K2,B4=B2,L4=L2,E4&gt;E2),AND(K4=K2,B4=B2,L4=L2,E4=E2,M4&gt;M2),AND(K4=K2,B4=B2,L4=L2,E4=E2,M4=M2,H4&gt;=H2))),A4,
IF(AND(OR(AND(B8=A5,B11=A4),AND(B8=A4,B11=A5)),OR(K2&gt;K3,AND(K2=K3,B2&gt;B3),AND(K2=K3,B2=B3,L2&gt;L3),AND(K2=K3,B2=B3,L2=L3,E2&gt;E3),AND(K2=K3,B2=B3,L2=L3,E2=E3,M2&gt;M3),AND(K2=K3,B2=B3,L2=L3,E2=E3,M2=M3,H2&gt;=H3))),A2,
IF(AND(OR(AND(B8=A5,B11=A4),AND(B8=A4,B11=A5)),OR(K3&gt;K2,AND(K3=K2,B3&gt;B2),AND(K3=K2,B3=B2,L3&gt;L2),AND(K3=K2,B3=B2,L3=L2,E3&gt;E2),AND(K3=K2,B3=B2,L3=L2,E3=E2,M3&gt;M2),AND(K3=K2,B3=B2,L3=L2,E3=E2,M3=M2,H3&gt;=H2))),A3,““
)))))))))))))</f>
        <v/>
      </c>
      <c r="C9" s="462"/>
      <c r="D9" s="462"/>
      <c r="E9" s="462"/>
      <c r="F9" s="462"/>
      <c r="G9" s="462"/>
      <c r="H9" s="462"/>
      <c r="I9" s="462"/>
      <c r="J9" s="463"/>
    </row>
    <row r="10" spans="1:13" x14ac:dyDescent="0.2">
      <c r="A10" s="124" t="s">
        <v>64</v>
      </c>
      <c r="B10" s="462" t="str">
        <f>IF(SUM(B2:B5)&lt;12,"",IF(OR(AND(B8=A2,B9=A3,B11=A4),AND(B8=A2,B9=A4,B11=A3),AND(B8=A3,B9=A2,B11=A4),AND(B8=A3,B9=A4,B11=A2),AND(B8=A4,B9=A2,B11=A3),AND(B8=A4,B9=A3,B11=A2)),A5,IF(OR(AND(B8=A2,B9=A3,B11=A5),AND(B8=A2,B9=A5,B11=A3),AND(B8=A3,B9=A2,B11=A5),AND(B8=A3,B9=A5,B11=A2),AND(B8=A5,B9=A2,B11=A3),AND(B8=A5,B9=A3,B11=A2)),A4,IF(OR(AND(B8=A2,B9=A5,B11=A4),AND(B8=A2,B9=A4,B11=A5),AND(B8=A5,B9=A2,B11=A4),AND(B8=A5,B9=A4,B11=A2),AND(B8=A4,B9=A2,B11=A5),AND(B8=A4,B9=A5,B11=A2)),A3,IF(OR(AND(B8=A5,B9=A3,B11=A4),AND(B8=A5,B9=A4,B11=A3),AND(B8=A3,B9=A5,B11=A4),AND(B8=A3,B9=A4,B11=A5),AND(B8=A4,B9=A5,B11=A3),AND(B8=A4,B9=A3,B11=A5)),A2,"")))))</f>
        <v/>
      </c>
      <c r="C10" s="462"/>
      <c r="D10" s="462"/>
      <c r="E10" s="462"/>
      <c r="F10" s="462"/>
      <c r="G10" s="462"/>
      <c r="H10" s="462"/>
      <c r="I10" s="462"/>
      <c r="J10" s="463"/>
    </row>
    <row r="11" spans="1:13" ht="16" thickBot="1" x14ac:dyDescent="0.25">
      <c r="A11" s="125" t="s">
        <v>65</v>
      </c>
      <c r="B11" s="455" t="str">
        <f>IF(SUM(B2:B5)&lt;12,"",IF(AND(K2&lt;K3,K2&lt;K4,K2&lt;K5),A2,IF(AND(K3&lt;K2,K3&lt;K4,K3&lt;K5),A3,IF(AND(K4&lt;K2,K4&lt;K3,K4&lt;K5),A4,IF(AND(K5&lt;K2,K5&lt;K3,K5&lt;K4),A5,IF(OR(AND(K2=K3,K2&lt;K4,K2&lt;K5,OR(B2&lt;B3,AND(B2=B3,OR(L2&lt;L3,AND(L2=L3,OR(E2&lt;E3,AND(E2=E3,OR(M2&lt;M3,AND(M2=M3,H2&lt;=H3))))))))),AND(K2=K4,K2&lt;K3,K2&lt;K5,OR(B2&lt;B4,AND(B2=B4,OR(L2&lt;L4,AND(L2=L4,OR(E2&lt;E4,AND(E2=E4,OR(M2&lt;M4,AND(M2=M4,H2&lt;=H4))))))))),AND(K2=K5,K2&lt;K4,K2&lt;K3,OR(B2&lt;B5,AND(B2=B5,OR(L2&lt;L5,AND(L2=L5,OR(E2&lt;E5,AND(E2=E5,OR(M2&lt;M5,AND(M2=M5,H2&lt;=H5)))))))))),A2,IF(OR(AND(K3=K2,K3&lt;K4,K3&lt;K5,OR(B3&lt;B2,AND(B3=B2,OR(L3&lt;L2,AND(L3=L2,OR(E3&lt;E2,AND(E3=E2,OR(M3&lt;M2,AND(M3=M2,H3&lt;=H2))))))))),AND(K3=K4,K3&lt;K2,K3&lt;K5,OR(B3&lt;B4,AND(B3=B4,OR(L3&lt;L4,AND(L3=L4,OR(E3&lt;E4,AND(E3=E4,OR(M3&lt;M4,AND(M3=M4,H3&lt;=H4))))))))),AND(K3=K5,K3&lt;K4,K3&lt;K2,OR(B3&lt;B5,AND(B3=B5,OR(L3&lt;L5,AND(L3=L5,OR(E3&lt;E5,AND(E3=E5,OR(M3&lt;M5,AND(M3=M5,H3&lt;=H5)))))))))),A3,IF(OR(AND(K4=K3,K4&lt;K2,K4&lt;K5,OR(B4&lt;B3,AND(B4=B3,OR(L4&lt;L3,AND(L4=L3,OR(E4&lt;E3,AND(E4=E3,OR(M4&lt;M3,AND(M4=M3,H4&lt;=H3))))))))),AND(K4=K2,K4&lt;K3,K4&lt;K5,OR(B4&lt;B2,AND(B4=B2,OR(L4&lt;L2,AND(L4=L2,OR(E4&lt;E2,AND(E4=E2,OR(M4&lt;M2,AND(M4=M2,H4&lt;=H2))))))))),AND(K4=K5,K4&lt;K2,K4&lt;K3,OR(B4&lt;B5,AND(B4=B5,OR(L4&lt;L5,AND(L4=L5,OR(E4&lt;E5,AND(E4=E5,OR(M4&lt;M5,AND(M4=M5,H4&lt;=H5)))))))))),A4,IF(OR(AND(K5=K3,K5&lt;K4,K5&lt;K2,OR(B5&lt;B3,AND(B5=B3,OR(L5&lt;L3,AND(L5=L3,OR(E5&lt;E3,AND(E5=E3,OR(M5&lt;M3,AND(M5=M3,H5&lt;=H3))))))))),AND(K5=K4,K5&lt;K3,K5&lt;K2,OR(B5&lt;B4,AND(B5=B4,OR(L5&lt;L4,AND(L5=L4,OR(E5&lt;E4,AND(E5=E4,OR(M5&lt;M4,AND(M5=M4,H5&lt;=H4))))))))),AND(K5=K2,K5&lt;K4,K5&lt;K3,OR(B5&lt;B2,AND(B5=B2,OR(L5&lt;L2,AND(L5=L2,OR(E5&lt;E2,AND(E5=E2,OR(M5&lt;M2,AND(M5=M2,H5&lt;=H2)))))))))),A5,IF(OR(AND(K2=K3,K2=K4,K2&lt;K5,OR(AND(B2&lt;B3,B2&lt;B4),AND(B2=B3,B2&lt;B4,OR(L2&lt;L3,AND(L2=L3,OR(E2&lt;E3,AND(E2=E3,OR(M2&lt;M3,AND(M2=M3,H2&lt;=H3))))))),AND(B2&lt;B3,B2=B4,OR(L2&lt;L4,AND(L2=L4,OR(E2&lt;E4,AND(E2=E4,OR(M2&lt;M4,AND(M2=M4,H2&lt;=H4))))))),AND(B2=B3,B2=B4,OR(AND(L2&lt;L3,L2&lt;L4),AND(L2=L3,L2&lt;L4,OR(E2&lt;E3,AND(E2=E3,OR(M2&lt;M3,AND(M2=M3,H2&lt;=H3))))),AND(L2=L4,L2&lt;L3,OR(E2&lt;E4,AND(E2=E4,OR(M2&lt;M4,AND(M2=M4,H2&lt;=H4))))),AND(L2=L3,L2=L4,E2=E3,E2=E4,OR(AND(M2&lt;M3,M2&lt;M4),AND(M2=M3,M2&lt;M4,H2&lt;=H3),AND(M2&lt;M3,M2=M4,H2&lt;=H4),AND(M2=M3,M2=M4,H2&lt;=H3,H2&lt;=H4))))))),AND(K2=K3,K2&lt;K4,K2=K5,OR(AND(B2&lt;B3,B2&lt;B5),AND(B2=B3,B2&lt;B5,OR(L2&lt;L3,AND(L2=L3,OR(E2&lt;E3,AND(E2=E3,OR(M2&lt;M3,AND(M2=M3,H2&lt;=H3))))))),AND(B2&lt;B3,B2=B5,OR(L2&lt;L5,AND(L2=L5,OR(E2&lt;E5,AND(E2=E5,OR(M2&lt;M5,AND(M2=M5,H2&lt;=H5))))))),AND(B2=B3,B2=B5,OR(AND(L2&lt;L3,L2&lt;L5),AND(L2=L3,L2&lt;L5,OR(E2&lt;E3,AND(E2=E3,OR(M2&lt;M3,AND(M2=M3,H2&lt;=H3))))),AND(L2=L5,L2&lt;L3,OR(E2&lt;E5,AND(E2=E5,OR(M2&lt;M5,AND(M2=M5,H2&lt;=H5))))),AND(L2=L3,L2=L5,E2=E3,E2=E5,OR(AND(M2&lt;M3,M2&lt;M5),AND(M2=M3,M2&lt;M5,H2&lt;=H3),AND(M2&lt;M3,M2=M5,H2&lt;=H5),AND(M2=M3,M2=M5,H2&lt;=H3,H2&lt;=H5))))))),AND(K2&lt;K3,K2=K4,K2=K5,OR(AND(B2&lt;B5,B2&lt;B4),AND(B2=B5,B2&lt;B4,OR(L2&lt;L5,AND(L2=L5,OR(E2&lt;E5,AND(E2=E5,OR(M2&lt;M5,H2&lt;=H5)))))),AND(B2&lt;B3,B2=B4,OR(L2&lt;L4,AND(L2=L4,OR(E2&lt;E4,AND(E2=E4,OR(M2&lt;M4,H2&lt;=H4)))))),AND(B2=B5,B2=B4,OR(AND(L2&lt;L5,L2&lt;L4),AND(L2=L5,L2&lt;L4,OR(E2&lt;E5,AND(E2=E5,OR(M2&lt;M5,AND(M2=M5,H2&lt;=H5))))),AND(L2=L4,L2&lt;L5,OR(E2&lt;E4,AND(E2=E4,OR(M2&lt;M4,AND(M2=M4,H2&lt;=H4))))),AND(L2=L5,L2=L4,E2=E5,E2=E4,OR(AND(M2&lt;M5,M2&lt;M4),AND(M2=M5,M2&lt;M4,H2&lt;=H5),AND(M2&lt;M5,M2=M4,H2&lt;=H4),AND(M2=M5,M2=M4,H2&lt;=H5,H2&lt;=H4)))))))),A2,IF(OR(AND(K3=K2,K3=K4,K3&lt;K5,OR(AND(B3&lt;B2,B3&lt;B4),AND(B3=B2,B3&lt;B4,OR(L3&lt;L2,AND(L3=L2,OR(E3&lt;E2,AND(E3=E2,OR(M3&lt;M2,H3&lt;=H2)))))),AND(B3&lt;B2,B3=B4,OR(L3&lt;L4,AND(L3=L4,OR(E3&lt;E4,AND(E3=E4,OR(M3&lt;M4,H3&lt;=H4)))))),AND(B3=B2,B3=B4,OR(AND(L3&lt;L2,L3&lt;L4),AND(L3=L2,L3&lt;L4,OR(E3&lt;E2,AND(E3=E2,OR(M3&lt;M2,AND(M3=M2,H3&lt;=H2))))),AND(L3=L4,L3&lt;L2,OR(E3&lt;E4,AND(E3=E4,OR(M3&lt;M4,AND(M3=M4,H3&lt;=H4))))),AND(L3=L2,L3=L4,E3=E2,E3=E4,OR(AND(M3&lt;M2,M3&lt;M4),AND(M3=M2,M3&lt;M4,H3&lt;=H2),AND(M3&lt;M2,M3=M4,H3&lt;=H4),AND(M3=M2,M3=M4,H3&lt;=H2,H3&lt;=H4))))))),AND(K3=K2,K3&lt;K4,K3=K5,OR(AND(B3&lt;B2,B3&lt;B5),AND(B3=B2,B3&lt;B5,OR(L3&lt;L2,AND(L3=L2,OR(E3&lt;E2,AND(E3=E2,OR(M3&lt;M2,H3&lt;=H2)))))),AND(B3&lt;B2,B3=B5,OR(L3&lt;L5,AND(L3=L5,OR(E3&lt;E5,AND(E3=E5,OR(M3&lt;M5,H3&lt;=H5)))))),AND(B3=B2,B3=B5,OR(AND(L3&lt;L2,L3&lt;L5),AND(L3=L2,L3&lt;L5,OR(E3&lt;E2,AND(E3=E2,OR(M3&lt;M2,AND(M3=M2,H3&lt;=H2))))),AND(L3=L5,L3&lt;L2,OR(E3&lt;E5,AND(E3=E5,OR(M3&lt;M5,AND(M3=M5,H3&lt;=H5))))),AND(L3=L2,L3=L5,E3=E2,E3=E5,OR(AND(M3&lt;M2,M3&lt;M5),AND(M3=M2,M3&lt;M5,H3&lt;=H2),AND(M3&lt;M2,M3=M5,H3&lt;=H5),AND(M3=M2,M3=M5,H3&lt;=H2,H3&lt;=H5))))))),AND(K3&lt;K2,K3=K4,K3=K5,OR(AND(B3&lt;B5,B3&lt;B4),AND(B3=B5,B3&lt;B4,OR(L3&lt;L5,AND(L3=L5,OR(E3&lt;E5,AND(E3=E5,OR(M3&lt;M5,H3&lt;=H5)))))),AND(B3&lt;B2,B3=B4,OR(L3&lt;L4,AND(L3=L4,OR(E3&lt;E4,AND(E3=E4,OR(M3&lt;M4,H3&lt;=H4)))))),AND(B3=B5,B3=B4,OR(AND(L3&lt;L5,L3&lt;L4),AND(L3=L5,L3&lt;L4,OR(E3&lt;E5,AND(E3=E5,OR(M3&lt;M5,AND(M3=M5,H3&lt;=H5))))),AND(L3=L4,L3&lt;L5,OR(E3&lt;E4,AND(E3=E4,OR(M3&lt;M4,AND(M3=M4,H3&lt;=H4))))),AND(L3=L5,L3=L4,E3=E5,E3=E4,OR(AND(M3&lt;M5,M3&lt;M4),AND(M3=M5,M3&lt;M4,H3&lt;=H5),AND(M3&lt;M5,M3=M4,H3&lt;=H4),AND(M3=M5,M3=M4,H3&lt;=H5,H3&lt;=H4)))))))),A3,IF(OR(AND(K4=K3,K4=K2,K4&lt;K5,OR(AND(B4&lt;B3,B4&lt;B2),AND(B4=B3,B4&lt;B2,OR(L4&lt;L3,AND(L4=L3,OR(E4&lt;E3,AND(E4=E3,OR(M4&lt;M3,H4&lt;=H3)))))),AND(B4&lt;B3,B4=B2,OR(L4&lt;L2,AND(L4=L2,OR(E4&lt;E2,AND(E4=E2,OR(M4&lt;M2,H4&lt;=H2)))))),AND(B4=B2,B4=B3,OR(AND(L4&lt;L2,L4&lt;L3),AND(L4=L2,L4&lt;L3,OR(E4&lt;E2,AND(E4=E2,OR(M4&lt;M2,AND(M4=M2,H4&lt;=H2))))),AND(L4=L3,L4&lt;L2,OR(E4&lt;E3,AND(E4=E3,OR(M4&lt;M3,AND(M4=M3,H4&lt;=H3))))),AND(L4=L2,L4=L3,E4=E2,E4=E3,OR(AND(M4&lt;M2,M4&lt;M3),AND(M4=M2,M4&lt;M3,H4&lt;=H2),AND(M4&lt;M2,M4=M3,H4&lt;=H3),AND(M4=M2,M4=M3,H4&lt;=H2,H4&lt;=H3))))))),AND(K4=K3,K4&lt;K2,K4=K5,OR(AND(B4&lt;B3,B4&lt;B5),AND(B4=B3,B4&lt;B5,OR(L4&lt;L3,AND(L4=L3,OR(E4&lt;E3,AND(E4=E3,OR(M4&lt;M3,H4&lt;=H3)))))),AND(B4&lt;B3,B4=B5,OR(L4&lt;L5,AND(L4=L5,OR(E4&lt;E5,AND(E4=E5,OR(M4&lt;M5,H4&lt;=H5)))))),AND(B4=B5,B4=B3,OR(AND(L4&lt;L5,L4&lt;L3),AND(L4=L5,L4&lt;L3,OR(E4&lt;E5,AND(E4=E5,OR(M4&lt;M5,AND(M4=M5,H4&lt;=H5))))),AND(L4=L3,L4&lt;L5,OR(E4&lt;E3,AND(E4=E3,OR(M4&lt;M3,AND(M4=M3,H4&lt;=H3))))),AND(L4=L5,L4=L3,E4=E5,E4=E3,OR(AND(M4&lt;M5,M4&lt;M3),AND(M4=M5,M4&lt;M3,H4&lt;=H5),AND(M4&lt;M5,M4=M3,H4&lt;=H3),AND(M4=M5,M4=M3,H4&lt;=H5,H4&lt;=H3))))))),AND(K4&lt;K3,K4=K2,K4=K5,OR(AND(B4&lt;B5,B4&lt;B2),AND(B4=B5,B4&lt;B2,OR(L4&lt;L5,AND(L4=L5,OR(E4&lt;E5,AND(E4=E5,OR(M4&lt;M5,H2&lt;=H5)))))),AND(B4&lt;B3,B4=B2,OR(L4&lt;L2,AND(L4=L2,OR(E4&lt;E2,AND(E4=E2,OR(M4&lt;M2,H4&lt;=H2)))))),AND(B4=B2,B4=B5,OR(AND(L4&lt;L2,L4&lt;L5),AND(L4=L2,L4&lt;L5,OR(E4&lt;E2,AND(E4=E2,OR(M4&lt;M2,AND(M4=M2,H4&lt;=H2))))),AND(L4=L5,L4&lt;L2,OR(E4&lt;E5,AND(E4=E5,OR(M4&lt;M5,AND(M4=M5,H4&lt;=H5))))),AND(L4=L2,L4=L5,E4=E2,E4=E5,OR(AND(M4&lt;M2,M4&lt;M5),AND(M4=M2,M4&lt;M5,H4&lt;=H2),AND(M4&lt;M2,M4=M5,H4&lt;=H5),AND(M4=M2,M4=M5,H4&lt;=H2,H4&lt;=H5)))))))),A4,IF(OR(AND(K5=K3,K5=K4,K5&lt;K2,OR(AND(B5&lt;B3,B5&lt;B4),AND(B5=B3,B5&lt;B4,OR(L5&lt;L3,AND(L5=L3,OR(E5&lt;E3,AND(E5=E3,OR(M5&lt;M3,H5&lt;=H3)))))),AND(B5&lt;B3,B5=B4,OR(L5&lt;L4,AND(L5=L4,OR(E5&lt;E4,AND(E5=E4,OR(M5&lt;M4,H5&lt;=H4)))))),AND(B5=B4,B5=B3,OR(AND(L5&lt;L4,L5&lt;L3),AND(L5=L4,L5&lt;L3,OR(E5&lt;E4,AND(E5=E4,OR(M5&lt;M4,AND(M5=M4,H5&lt;=H4))))),AND(L5=L3,L5&lt;L4,OR(E5&lt;E3,AND(E5=E3,OR(M5&lt;M3,AND(M5=M3,H5&lt;=H3))))),AND(L5=L4,L5=L3,E5=E4,E5=E3,OR(AND(M5&lt;M4,M5&lt;M3),AND(M5=M4,M5&lt;M3,H5&lt;=H4),AND(M5&lt;M4,M5=M3,H5&lt;=H3),AND(M5=M4,M5=M3,H5&lt;=H4,H5&lt;=H3))))))),AND(K5=K3,K5&lt;K4,K5=K2,OR(AND(B5&lt;B3,B5&lt;B2),AND(B5=B3,B5&lt;B2,OR(L5&lt;L3,AND(L5=L3,OR(E5&lt;E3,AND(E5=E3,OR(M5&lt;M3,H5&lt;=H3)))))),AND(B5&lt;B3,B5=B2,OR(L5&lt;L2,AND(L5=L2,OR(E5&lt;E2,AND(E5=E2,OR(M5&lt;M2,H5&lt;=H2)))))),AND(B5=B2,B5=B3,OR(AND(L5&lt;L2,L5&lt;L3),AND(L5=L2,L5&lt;L3,OR(E5&lt;E2,AND(E5=E2,OR(M5&lt;M2,AND(M5=M2,H5&lt;=H2))))),AND(L5=L3,L5&lt;L2,OR(E5&lt;E3,AND(E5=E3,OR(M5&lt;M3,AND(M5=M3,H5&lt;=H3))))),AND(L5=L2,L5=L3,E5=E2,E5=E3,OR(AND(M5&lt;M2,M5&lt;M3),AND(M5=M2,M5&lt;M3,H5&lt;=H2),AND(M5&lt;M2,M5=M3,H5&lt;=H3),AND(M5=M2,M5=M3,H5&lt;=H2,H5&lt;=H3))))))),AND(K5&lt;K3,K5=K4,K5=K2,OR(AND(B5&lt;B2,B5&lt;B4),AND(B5=B2,B5&lt;B4,OR(L5&lt;L2,AND(L5=L2,OR(E5&lt;E2,AND(E5=E2,OR(M5&lt;M2,H5&lt;=H2)))))),AND(B5&lt;B3,B5=B4,OR(L5&lt;L4,AND(L5=L4,OR(E5&lt;E4,AND(E5=E4,OR(M5&lt;M4,H5&lt;=H4)))))),AND(B5=B4,B5=B2,OR(AND(L5&lt;L4,L5&lt;L2),AND(L5=L4,L5&lt;L2,OR(E5&lt;E4,AND(E5=E4,OR(M5&lt;M4,AND(M5=M4,H5&lt;=H4))))),AND(L5=L2,L5&lt;L4,OR(E5&lt;E2,AND(E5=E2,OR(M5&lt;M2,AND(M5=M2,H5&lt;=H2))))),AND(L5=L4,L5=L2,E5=E4,E5=E2,OR(AND(M5&lt;M4,M5&lt;M2),AND(M5=M4,M5&lt;M2,H5&lt;=H4),AND(M5&lt;M4,M5=M2,H5&lt;=H2),AND(M5=M4,M5=M2,H5&lt;=H4,H5&lt;=H2)))))))),A5,““)))))))))))))</f>
        <v/>
      </c>
      <c r="C11" s="455"/>
      <c r="D11" s="455"/>
      <c r="E11" s="455"/>
      <c r="F11" s="455"/>
      <c r="G11" s="455"/>
      <c r="H11" s="455"/>
      <c r="I11" s="455"/>
      <c r="J11" s="456"/>
    </row>
    <row r="12" spans="1:13" ht="16" thickTop="1" x14ac:dyDescent="0.2"/>
  </sheetData>
  <customSheetViews>
    <customSheetView guid="{E283EB08-68AF-4ED4-8677-B7D8E39E2424}">
      <pageMargins left="0.7" right="0.7" top="0.78740157499999996" bottom="0.78740157499999996" header="0.3" footer="0.3"/>
    </customSheetView>
  </customSheetViews>
  <mergeCells count="11">
    <mergeCell ref="B11:J11"/>
    <mergeCell ref="B1:D1"/>
    <mergeCell ref="E1:G1"/>
    <mergeCell ref="H1:J1"/>
    <mergeCell ref="B8:J8"/>
    <mergeCell ref="B9:J9"/>
    <mergeCell ref="B10:J10"/>
    <mergeCell ref="B2:D2"/>
    <mergeCell ref="B3:D3"/>
    <mergeCell ref="B4:D4"/>
    <mergeCell ref="B5:D5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Spielplan</vt:lpstr>
      <vt:lpstr>Losen</vt:lpstr>
      <vt:lpstr>Gruppe A</vt:lpstr>
      <vt:lpstr>Gruppe B</vt:lpstr>
      <vt:lpstr>Gruppe C</vt:lpstr>
      <vt:lpstr>Gruppe D</vt:lpstr>
      <vt:lpstr>Plätze 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</dc:creator>
  <cp:lastModifiedBy>Microsoft Office User</cp:lastModifiedBy>
  <cp:lastPrinted>2013-04-21T16:59:07Z</cp:lastPrinted>
  <dcterms:created xsi:type="dcterms:W3CDTF">2011-06-21T08:07:54Z</dcterms:created>
  <dcterms:modified xsi:type="dcterms:W3CDTF">2022-04-24T12:25:32Z</dcterms:modified>
</cp:coreProperties>
</file>